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U:\Mojca\tajništvo\CENIKI\Ceniki odvajanje in čiščenje 2025\"/>
    </mc:Choice>
  </mc:AlternateContent>
  <xr:revisionPtr revIDLastSave="0" documentId="13_ncr:1_{64849BB9-B23E-41D2-94DE-976AE140B9F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CENIK_št_1" sheetId="1" r:id="rId1"/>
    <sheet name="KALKULACIJA_CENIK_št_1" sheetId="2" state="hidden" r:id="rId2"/>
    <sheet name="KALKULACIJA CENIK em" sheetId="8" state="hidden" r:id="rId3"/>
    <sheet name="VPLIV NA PRORAČUN" sheetId="10" state="hidden" r:id="rId4"/>
  </sheets>
  <externalReferences>
    <externalReference r:id="rId5"/>
  </externalReferences>
  <definedNames>
    <definedName name="_xlnm.Print_Area" localSheetId="0">CENIK_št_1!$A$1:$L$196</definedName>
    <definedName name="_xlnm.Print_Area" localSheetId="2">'KALKULACIJA CENIK em'!$A$1:$J$496</definedName>
    <definedName name="_xlnm.Print_Area" localSheetId="1">KALKULACIJA_CENIK_št_1!$A$1:$K$893</definedName>
    <definedName name="_xlnm.Print_Area" localSheetId="3">'VPLIV NA PRORAČUN'!$B$1:$M$27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1" i="2" l="1"/>
  <c r="D887" i="2"/>
  <c r="D264" i="2" l="1"/>
  <c r="G269" i="2"/>
  <c r="I269" i="2" s="1"/>
  <c r="H268" i="2"/>
  <c r="I268" i="2" s="1"/>
  <c r="F264" i="2"/>
  <c r="I270" i="2" s="1"/>
  <c r="D898" i="2"/>
  <c r="I65" i="2"/>
  <c r="I70" i="2" s="1"/>
  <c r="G64" i="2"/>
  <c r="H64" i="2" s="1"/>
  <c r="G63" i="2"/>
  <c r="G65" i="2" s="1"/>
  <c r="G70" i="2" s="1"/>
  <c r="I54" i="2"/>
  <c r="G54" i="2"/>
  <c r="H54" i="2" s="1"/>
  <c r="G53" i="2"/>
  <c r="H53" i="2" s="1"/>
  <c r="G52" i="2"/>
  <c r="I46" i="2"/>
  <c r="G46" i="2"/>
  <c r="H46" i="2" s="1"/>
  <c r="G45" i="2"/>
  <c r="G44" i="2"/>
  <c r="H44" i="2" s="1"/>
  <c r="I37" i="2"/>
  <c r="G37" i="2"/>
  <c r="H37" i="2" s="1"/>
  <c r="G36" i="2"/>
  <c r="H36" i="2" s="1"/>
  <c r="G35" i="2"/>
  <c r="H35" i="2" s="1"/>
  <c r="G34" i="2"/>
  <c r="H34" i="2" s="1"/>
  <c r="G33" i="2"/>
  <c r="H33" i="2" s="1"/>
  <c r="I28" i="2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I15" i="2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V66" i="2"/>
  <c r="T66" i="2"/>
  <c r="T71" i="2" s="1"/>
  <c r="U65" i="2"/>
  <c r="U64" i="2"/>
  <c r="T56" i="2"/>
  <c r="V55" i="2"/>
  <c r="U55" i="2"/>
  <c r="U54" i="2"/>
  <c r="T49" i="2"/>
  <c r="V48" i="2"/>
  <c r="U48" i="2"/>
  <c r="U47" i="2"/>
  <c r="U46" i="2"/>
  <c r="U45" i="2"/>
  <c r="T40" i="2"/>
  <c r="V39" i="2"/>
  <c r="U39" i="2"/>
  <c r="U38" i="2"/>
  <c r="U37" i="2"/>
  <c r="U36" i="2"/>
  <c r="U40" i="2" s="1"/>
  <c r="T31" i="2"/>
  <c r="V30" i="2"/>
  <c r="U30" i="2"/>
  <c r="U29" i="2"/>
  <c r="U28" i="2"/>
  <c r="U27" i="2"/>
  <c r="U26" i="2"/>
  <c r="U25" i="2"/>
  <c r="U24" i="2"/>
  <c r="U23" i="2"/>
  <c r="T18" i="2"/>
  <c r="V17" i="2"/>
  <c r="U17" i="2"/>
  <c r="U16" i="2"/>
  <c r="U15" i="2"/>
  <c r="U14" i="2"/>
  <c r="U13" i="2"/>
  <c r="U12" i="2"/>
  <c r="U11" i="2"/>
  <c r="U10" i="2"/>
  <c r="U9" i="2"/>
  <c r="U56" i="2" l="1"/>
  <c r="U57" i="2" s="1"/>
  <c r="G47" i="2"/>
  <c r="I47" i="2" s="1"/>
  <c r="G55" i="2"/>
  <c r="U66" i="2"/>
  <c r="U67" i="2" s="1"/>
  <c r="U31" i="2"/>
  <c r="U32" i="2" s="1"/>
  <c r="U49" i="2"/>
  <c r="U51" i="2" s="1"/>
  <c r="T61" i="2"/>
  <c r="T74" i="2" s="1"/>
  <c r="G16" i="2"/>
  <c r="I16" i="2" s="1"/>
  <c r="T72" i="2"/>
  <c r="G29" i="2"/>
  <c r="I29" i="2" s="1"/>
  <c r="V18" i="2"/>
  <c r="I71" i="2"/>
  <c r="V40" i="2"/>
  <c r="H39" i="2"/>
  <c r="H41" i="2" s="1"/>
  <c r="U18" i="2"/>
  <c r="V56" i="2"/>
  <c r="G71" i="2"/>
  <c r="I55" i="2"/>
  <c r="H29" i="2"/>
  <c r="H70" i="2"/>
  <c r="G39" i="2"/>
  <c r="I39" i="2" s="1"/>
  <c r="H52" i="2"/>
  <c r="H55" i="2" s="1"/>
  <c r="H63" i="2"/>
  <c r="H65" i="2" s="1"/>
  <c r="H8" i="2"/>
  <c r="H16" i="2" s="1"/>
  <c r="H45" i="2"/>
  <c r="H47" i="2" s="1"/>
  <c r="G97" i="2" s="1"/>
  <c r="I60" i="2"/>
  <c r="I73" i="2" s="1"/>
  <c r="U50" i="2"/>
  <c r="U19" i="2"/>
  <c r="U20" i="2"/>
  <c r="U68" i="2"/>
  <c r="V61" i="2"/>
  <c r="V31" i="2"/>
  <c r="U41" i="2"/>
  <c r="U42" i="2"/>
  <c r="V71" i="2"/>
  <c r="V49" i="2"/>
  <c r="G108" i="2" l="1"/>
  <c r="H144" i="2" s="1"/>
  <c r="H359" i="2"/>
  <c r="U52" i="2"/>
  <c r="H40" i="2"/>
  <c r="H42" i="2" s="1"/>
  <c r="U69" i="2"/>
  <c r="U58" i="2"/>
  <c r="U59" i="2" s="1"/>
  <c r="U33" i="2"/>
  <c r="U43" i="2"/>
  <c r="U34" i="2"/>
  <c r="H71" i="2"/>
  <c r="U21" i="2"/>
  <c r="G60" i="2"/>
  <c r="G73" i="2" s="1"/>
  <c r="H73" i="2" s="1"/>
  <c r="G85" i="2"/>
  <c r="U61" i="2"/>
  <c r="J28" i="2"/>
  <c r="J29" i="2" s="1"/>
  <c r="J65" i="2"/>
  <c r="J37" i="2"/>
  <c r="J15" i="2"/>
  <c r="H30" i="2"/>
  <c r="H31" i="2"/>
  <c r="J54" i="2"/>
  <c r="H49" i="2"/>
  <c r="H48" i="2"/>
  <c r="H50" i="2" s="1"/>
  <c r="H17" i="2"/>
  <c r="H18" i="2"/>
  <c r="H66" i="2"/>
  <c r="H67" i="2"/>
  <c r="J46" i="2"/>
  <c r="H57" i="2"/>
  <c r="H56" i="2"/>
  <c r="V74" i="2"/>
  <c r="U74" i="2" s="1"/>
  <c r="V72" i="2"/>
  <c r="U72" i="2" s="1"/>
  <c r="U71" i="2"/>
  <c r="H60" i="2" l="1"/>
  <c r="H19" i="2"/>
  <c r="H58" i="2"/>
  <c r="H158" i="2"/>
  <c r="H172" i="2" s="1"/>
  <c r="H186" i="2" s="1"/>
  <c r="H201" i="2" s="1"/>
  <c r="H214" i="2" s="1"/>
  <c r="H227" i="2" s="1"/>
  <c r="H241" i="2" s="1"/>
  <c r="H254" i="2" s="1"/>
  <c r="H267" i="2" s="1"/>
  <c r="I267" i="2" s="1"/>
  <c r="I271" i="2" s="1"/>
  <c r="I272" i="2" s="1"/>
  <c r="I273" i="2" s="1"/>
  <c r="H130" i="2"/>
  <c r="H68" i="2"/>
  <c r="J66" i="2"/>
  <c r="J70" i="2"/>
  <c r="K47" i="2"/>
  <c r="J47" i="2"/>
  <c r="J71" i="2"/>
  <c r="K55" i="2"/>
  <c r="K56" i="2" s="1"/>
  <c r="J55" i="2"/>
  <c r="K65" i="2"/>
  <c r="J60" i="2"/>
  <c r="J16" i="2"/>
  <c r="K29" i="2"/>
  <c r="K16" i="2"/>
  <c r="J39" i="2"/>
  <c r="K39" i="2"/>
  <c r="W39" i="2"/>
  <c r="W30" i="2"/>
  <c r="W55" i="2"/>
  <c r="W66" i="2"/>
  <c r="W17" i="2"/>
  <c r="W48" i="2"/>
  <c r="K60" i="2" l="1"/>
  <c r="J73" i="2"/>
  <c r="K70" i="2"/>
  <c r="K66" i="2"/>
  <c r="G110" i="2" s="1"/>
  <c r="W31" i="2"/>
  <c r="X31" i="2"/>
  <c r="W49" i="2"/>
  <c r="X49" i="2"/>
  <c r="W18" i="2"/>
  <c r="W61" i="2"/>
  <c r="X18" i="2"/>
  <c r="W40" i="2"/>
  <c r="X40" i="2"/>
  <c r="W71" i="2"/>
  <c r="W67" i="2"/>
  <c r="X66" i="2"/>
  <c r="W56" i="2"/>
  <c r="W72" i="2"/>
  <c r="X56" i="2"/>
  <c r="X57" i="2" s="1"/>
  <c r="G120" i="2" l="1"/>
  <c r="K71" i="2"/>
  <c r="K73" i="2" s="1"/>
  <c r="I75" i="2" s="1"/>
  <c r="J75" i="2" s="1"/>
  <c r="I76" i="2" s="1"/>
  <c r="J76" i="2" s="1"/>
  <c r="G87" i="2"/>
  <c r="W74" i="2"/>
  <c r="X71" i="2"/>
  <c r="X67" i="2"/>
  <c r="X72" i="2" s="1"/>
  <c r="X61" i="2"/>
  <c r="X74" i="2" s="1"/>
  <c r="V76" i="2" s="1"/>
  <c r="W76" i="2" s="1"/>
  <c r="I77" i="2" l="1"/>
  <c r="J77" i="2" s="1"/>
  <c r="V77" i="2"/>
  <c r="W77" i="2" s="1"/>
  <c r="V78" i="2"/>
  <c r="J78" i="2" l="1"/>
  <c r="W79" i="2"/>
  <c r="W78" i="2"/>
  <c r="H131" i="2" l="1"/>
  <c r="I131" i="2" s="1"/>
  <c r="G132" i="2"/>
  <c r="I132" i="2" s="1"/>
  <c r="I133" i="2"/>
  <c r="H427" i="2"/>
  <c r="I427" i="2" s="1"/>
  <c r="I428" i="2"/>
  <c r="I429" i="2"/>
  <c r="D423" i="2"/>
  <c r="D356" i="2"/>
  <c r="D343" i="2"/>
  <c r="I362" i="2"/>
  <c r="I361" i="2"/>
  <c r="I360" i="2"/>
  <c r="L20" i="10"/>
  <c r="L23" i="10" s="1"/>
  <c r="L17" i="10"/>
  <c r="L9" i="10"/>
  <c r="L7" i="10"/>
  <c r="L11" i="10" s="1"/>
  <c r="E23" i="10"/>
  <c r="H7" i="10"/>
  <c r="D803" i="2"/>
  <c r="D277" i="2"/>
  <c r="D183" i="2"/>
  <c r="D169" i="2"/>
  <c r="I189" i="2"/>
  <c r="I188" i="2"/>
  <c r="H187" i="2"/>
  <c r="I187" i="2"/>
  <c r="E10" i="10"/>
  <c r="E492" i="8"/>
  <c r="E491" i="8"/>
  <c r="D484" i="8"/>
  <c r="E483" i="8"/>
  <c r="D467" i="8"/>
  <c r="H807" i="2"/>
  <c r="H806" i="2"/>
  <c r="D791" i="2"/>
  <c r="D792" i="2"/>
  <c r="C790" i="2"/>
  <c r="H795" i="2"/>
  <c r="F793" i="2"/>
  <c r="H796" i="2" s="1"/>
  <c r="I283" i="2"/>
  <c r="I282" i="2"/>
  <c r="I281" i="2"/>
  <c r="D537" i="2"/>
  <c r="H541" i="2"/>
  <c r="H540" i="2"/>
  <c r="D313" i="8"/>
  <c r="D251" i="2"/>
  <c r="H9" i="10"/>
  <c r="I9" i="10" s="1"/>
  <c r="I7" i="10"/>
  <c r="D1027" i="2"/>
  <c r="D1026" i="2"/>
  <c r="H1022" i="2"/>
  <c r="H1023" i="2" s="1"/>
  <c r="H1024" i="2" s="1"/>
  <c r="D1019" i="2"/>
  <c r="D1007" i="2"/>
  <c r="H1015" i="2"/>
  <c r="H1014" i="2"/>
  <c r="H1013" i="2"/>
  <c r="H1012" i="2"/>
  <c r="H1011" i="2"/>
  <c r="H1010" i="2"/>
  <c r="D995" i="2"/>
  <c r="D983" i="2"/>
  <c r="H1003" i="2"/>
  <c r="H1002" i="2"/>
  <c r="H1001" i="2"/>
  <c r="H1000" i="2"/>
  <c r="H999" i="2"/>
  <c r="H998" i="2"/>
  <c r="H990" i="2"/>
  <c r="H989" i="2"/>
  <c r="H988" i="2"/>
  <c r="H987" i="2"/>
  <c r="H986" i="2"/>
  <c r="H941" i="2"/>
  <c r="H942" i="2"/>
  <c r="H940" i="2"/>
  <c r="D971" i="2"/>
  <c r="H979" i="2"/>
  <c r="H978" i="2"/>
  <c r="H977" i="2"/>
  <c r="H976" i="2"/>
  <c r="H975" i="2"/>
  <c r="H974" i="2"/>
  <c r="H962" i="2"/>
  <c r="H964" i="2"/>
  <c r="H965" i="2"/>
  <c r="H966" i="2"/>
  <c r="H967" i="2"/>
  <c r="H963" i="2"/>
  <c r="D959" i="2"/>
  <c r="E455" i="8"/>
  <c r="E448" i="8"/>
  <c r="E460" i="8"/>
  <c r="E459" i="8"/>
  <c r="D457" i="8"/>
  <c r="E456" i="8"/>
  <c r="E444" i="8"/>
  <c r="E421" i="8"/>
  <c r="E433" i="8" s="1"/>
  <c r="E445" i="8" s="1"/>
  <c r="E425" i="8"/>
  <c r="E437" i="8" s="1"/>
  <c r="E447" i="8" s="1"/>
  <c r="E424" i="8"/>
  <c r="E436" i="8" s="1"/>
  <c r="E423" i="8"/>
  <c r="E435" i="8" s="1"/>
  <c r="E420" i="8"/>
  <c r="E432" i="8" s="1"/>
  <c r="E413" i="8"/>
  <c r="E410" i="8"/>
  <c r="E409" i="8"/>
  <c r="D344" i="8"/>
  <c r="D358" i="8"/>
  <c r="D346" i="8"/>
  <c r="E343" i="8"/>
  <c r="E355" i="8" s="1"/>
  <c r="E348" i="8"/>
  <c r="E360" i="8" s="1"/>
  <c r="E373" i="8" s="1"/>
  <c r="D347" i="8"/>
  <c r="D359" i="8" s="1"/>
  <c r="D372" i="8" s="1"/>
  <c r="E397" i="8" s="1"/>
  <c r="E303" i="8"/>
  <c r="D299" i="8"/>
  <c r="J290" i="8"/>
  <c r="F276" i="8"/>
  <c r="D262" i="8"/>
  <c r="D275" i="8" s="1"/>
  <c r="D288" i="8" s="1"/>
  <c r="J249" i="8"/>
  <c r="D251" i="8"/>
  <c r="E250" i="8"/>
  <c r="E291" i="8" s="1"/>
  <c r="D301" i="8" s="1"/>
  <c r="E248" i="8"/>
  <c r="E289" i="8" s="1"/>
  <c r="D247" i="8"/>
  <c r="E236" i="8"/>
  <c r="E264" i="8" s="1"/>
  <c r="E277" i="8" s="1"/>
  <c r="D237" i="8"/>
  <c r="D265" i="8" s="1"/>
  <c r="D278" i="8" s="1"/>
  <c r="D292" i="8" s="1"/>
  <c r="E235" i="8"/>
  <c r="D234" i="8"/>
  <c r="D224" i="8"/>
  <c r="E223" i="8"/>
  <c r="E222" i="8"/>
  <c r="D221" i="8"/>
  <c r="E219" i="8"/>
  <c r="D218" i="8"/>
  <c r="E208" i="8"/>
  <c r="D647" i="2"/>
  <c r="I652" i="2"/>
  <c r="I651" i="2"/>
  <c r="I650" i="2"/>
  <c r="D195" i="8"/>
  <c r="J173" i="8"/>
  <c r="E172" i="8"/>
  <c r="D169" i="8"/>
  <c r="E154" i="8"/>
  <c r="D155" i="8"/>
  <c r="E137" i="8"/>
  <c r="E123" i="8"/>
  <c r="J144" i="8"/>
  <c r="J143" i="8"/>
  <c r="J142" i="8"/>
  <c r="D124" i="8"/>
  <c r="D110" i="8"/>
  <c r="D100" i="8"/>
  <c r="J113" i="8"/>
  <c r="J103" i="8"/>
  <c r="D93" i="8"/>
  <c r="D85" i="8"/>
  <c r="J83" i="8"/>
  <c r="J70" i="8"/>
  <c r="D71" i="8"/>
  <c r="D84" i="8" s="1"/>
  <c r="J58" i="8"/>
  <c r="D72" i="8"/>
  <c r="D54" i="8"/>
  <c r="E56" i="8"/>
  <c r="D55" i="8"/>
  <c r="E59" i="8"/>
  <c r="G295" i="2"/>
  <c r="G256" i="2"/>
  <c r="I256" i="2" s="1"/>
  <c r="G243" i="2"/>
  <c r="I243" i="2" s="1"/>
  <c r="G216" i="2"/>
  <c r="I216" i="2" s="1"/>
  <c r="G174" i="2"/>
  <c r="I174" i="2" s="1"/>
  <c r="G146" i="2"/>
  <c r="I146" i="2" s="1"/>
  <c r="G160" i="2"/>
  <c r="I160" i="2" s="1"/>
  <c r="D41" i="8"/>
  <c r="D24" i="8"/>
  <c r="J44" i="8"/>
  <c r="J43" i="8"/>
  <c r="D27" i="8"/>
  <c r="D25" i="8"/>
  <c r="J30" i="8"/>
  <c r="J29" i="8"/>
  <c r="D938" i="2"/>
  <c r="D919" i="2"/>
  <c r="D896" i="2"/>
  <c r="D917" i="2" s="1"/>
  <c r="D936" i="2" s="1"/>
  <c r="D948" i="2" s="1"/>
  <c r="D878" i="2"/>
  <c r="D868" i="2"/>
  <c r="D860" i="2"/>
  <c r="D870" i="2" s="1"/>
  <c r="D858" i="2"/>
  <c r="D851" i="2"/>
  <c r="D861" i="2" s="1"/>
  <c r="D871" i="2" s="1"/>
  <c r="D850" i="2"/>
  <c r="D848" i="2"/>
  <c r="J819" i="2"/>
  <c r="J821" i="2"/>
  <c r="J822" i="2"/>
  <c r="D837" i="2"/>
  <c r="D825" i="2"/>
  <c r="D835" i="2" s="1"/>
  <c r="D846" i="2" s="1"/>
  <c r="D856" i="2" s="1"/>
  <c r="D866" i="2" s="1"/>
  <c r="D876" i="2" s="1"/>
  <c r="D885" i="2" s="1"/>
  <c r="D832" i="2"/>
  <c r="D842" i="2" s="1"/>
  <c r="D853" i="2" s="1"/>
  <c r="D863" i="2" s="1"/>
  <c r="D873" i="2" s="1"/>
  <c r="D830" i="2"/>
  <c r="D840" i="2" s="1"/>
  <c r="D829" i="2"/>
  <c r="D839" i="2" s="1"/>
  <c r="D827" i="2"/>
  <c r="D813" i="2"/>
  <c r="D817" i="2"/>
  <c r="D815" i="2"/>
  <c r="H952" i="2"/>
  <c r="H953" i="2" s="1"/>
  <c r="H955" i="2" s="1"/>
  <c r="K924" i="2"/>
  <c r="K921" i="2"/>
  <c r="K922" i="2" s="1"/>
  <c r="K902" i="2"/>
  <c r="K901" i="2"/>
  <c r="K900" i="2"/>
  <c r="I882" i="2"/>
  <c r="D781" i="2"/>
  <c r="H767" i="2"/>
  <c r="H766" i="2"/>
  <c r="I627" i="2"/>
  <c r="H785" i="2"/>
  <c r="H784" i="2"/>
  <c r="H786" i="2" s="1"/>
  <c r="H787" i="2" s="1"/>
  <c r="D762" i="2"/>
  <c r="H765" i="2"/>
  <c r="I603" i="2"/>
  <c r="I578" i="2"/>
  <c r="H255" i="2"/>
  <c r="I255" i="2" s="1"/>
  <c r="H307" i="2"/>
  <c r="I307" i="2" s="1"/>
  <c r="H294" i="2"/>
  <c r="I294" i="2" s="1"/>
  <c r="I147" i="2"/>
  <c r="D107" i="2"/>
  <c r="D470" i="2"/>
  <c r="D459" i="2"/>
  <c r="H474" i="2"/>
  <c r="H473" i="2"/>
  <c r="D437" i="2"/>
  <c r="I416" i="2"/>
  <c r="I415" i="2"/>
  <c r="D383" i="2"/>
  <c r="D370" i="2"/>
  <c r="D224" i="2"/>
  <c r="D141" i="2"/>
  <c r="I145" i="2"/>
  <c r="I175" i="2"/>
  <c r="D198" i="2"/>
  <c r="D561" i="2"/>
  <c r="I161" i="2"/>
  <c r="J301" i="8"/>
  <c r="H463" i="2"/>
  <c r="H462" i="2"/>
  <c r="H441" i="2"/>
  <c r="H440" i="2"/>
  <c r="C435" i="2"/>
  <c r="C446" i="2" s="1"/>
  <c r="C457" i="2" s="1"/>
  <c r="I309" i="2"/>
  <c r="I308" i="2"/>
  <c r="D303" i="2"/>
  <c r="D751" i="2"/>
  <c r="H755" i="2"/>
  <c r="H754" i="2"/>
  <c r="H744" i="2"/>
  <c r="D740" i="2"/>
  <c r="H743" i="2"/>
  <c r="D718" i="2"/>
  <c r="H722" i="2"/>
  <c r="H721" i="2"/>
  <c r="D684" i="2"/>
  <c r="I689" i="2"/>
  <c r="I688" i="2"/>
  <c r="I687" i="2"/>
  <c r="D729" i="2"/>
  <c r="H732" i="2"/>
  <c r="H733" i="2"/>
  <c r="D707" i="2"/>
  <c r="H711" i="2"/>
  <c r="H710" i="2"/>
  <c r="D696" i="2"/>
  <c r="H700" i="2"/>
  <c r="H699" i="2"/>
  <c r="D659" i="2"/>
  <c r="D671" i="2"/>
  <c r="I676" i="2"/>
  <c r="I675" i="2"/>
  <c r="I674" i="2"/>
  <c r="I664" i="2"/>
  <c r="I663" i="2"/>
  <c r="I662" i="2"/>
  <c r="D635" i="2"/>
  <c r="I640" i="2"/>
  <c r="I639" i="2"/>
  <c r="I638" i="2"/>
  <c r="D623" i="2"/>
  <c r="I628" i="2"/>
  <c r="I626" i="2"/>
  <c r="D610" i="2"/>
  <c r="I615" i="2"/>
  <c r="I614" i="2"/>
  <c r="I613" i="2"/>
  <c r="D598" i="2"/>
  <c r="I602" i="2"/>
  <c r="I601" i="2"/>
  <c r="D586" i="2"/>
  <c r="I591" i="2"/>
  <c r="I590" i="2"/>
  <c r="I589" i="2"/>
  <c r="D574" i="2"/>
  <c r="I579" i="2"/>
  <c r="I577" i="2"/>
  <c r="C559" i="2"/>
  <c r="C572" i="2" s="1"/>
  <c r="C584" i="2" s="1"/>
  <c r="C596" i="2" s="1"/>
  <c r="C608" i="2" s="1"/>
  <c r="C621" i="2" s="1"/>
  <c r="C633" i="2" s="1"/>
  <c r="C547" i="2"/>
  <c r="I566" i="2"/>
  <c r="I565" i="2"/>
  <c r="I564" i="2"/>
  <c r="D526" i="2"/>
  <c r="H530" i="2"/>
  <c r="H529" i="2"/>
  <c r="D515" i="2"/>
  <c r="H519" i="2"/>
  <c r="H518" i="2"/>
  <c r="D504" i="2"/>
  <c r="H507" i="2"/>
  <c r="H508" i="2"/>
  <c r="D493" i="2"/>
  <c r="H497" i="2"/>
  <c r="H496" i="2"/>
  <c r="D481" i="2"/>
  <c r="H485" i="2"/>
  <c r="H484" i="2"/>
  <c r="D448" i="2"/>
  <c r="H452" i="2"/>
  <c r="H451" i="2"/>
  <c r="H414" i="2"/>
  <c r="I414" i="2" s="1"/>
  <c r="H401" i="2"/>
  <c r="I401" i="2" s="1"/>
  <c r="D410" i="2"/>
  <c r="D397" i="2"/>
  <c r="I403" i="2"/>
  <c r="I402" i="2"/>
  <c r="H387" i="2"/>
  <c r="I387" i="2" s="1"/>
  <c r="I389" i="2"/>
  <c r="I388" i="2"/>
  <c r="H374" i="2"/>
  <c r="I374" i="2" s="1"/>
  <c r="H173" i="2"/>
  <c r="I173" i="2" s="1"/>
  <c r="H159" i="2"/>
  <c r="I159" i="2" s="1"/>
  <c r="D549" i="2"/>
  <c r="I554" i="2"/>
  <c r="I553" i="2"/>
  <c r="I552" i="2"/>
  <c r="I376" i="2"/>
  <c r="I375" i="2"/>
  <c r="H347" i="2"/>
  <c r="I347" i="2" s="1"/>
  <c r="H334" i="2"/>
  <c r="I334" i="2" s="1"/>
  <c r="H321" i="2"/>
  <c r="I321" i="2" s="1"/>
  <c r="I349" i="2"/>
  <c r="I348" i="2"/>
  <c r="I336" i="2"/>
  <c r="D330" i="2"/>
  <c r="I335" i="2"/>
  <c r="D317" i="2"/>
  <c r="I323" i="2"/>
  <c r="I322" i="2"/>
  <c r="I295" i="2"/>
  <c r="D290" i="2"/>
  <c r="I296" i="2"/>
  <c r="I229" i="2"/>
  <c r="I257" i="2"/>
  <c r="I203" i="2"/>
  <c r="H215" i="2"/>
  <c r="I215" i="2" s="1"/>
  <c r="H242" i="2"/>
  <c r="I242" i="2" s="1"/>
  <c r="I202" i="2"/>
  <c r="D238" i="2"/>
  <c r="I244" i="2"/>
  <c r="I228" i="2"/>
  <c r="I230" i="2"/>
  <c r="D211" i="2"/>
  <c r="I217" i="2"/>
  <c r="I204" i="2"/>
  <c r="D155" i="2"/>
  <c r="J159" i="8"/>
  <c r="J130" i="8"/>
  <c r="J129" i="8"/>
  <c r="J128" i="8"/>
  <c r="J14" i="8"/>
  <c r="J13" i="8"/>
  <c r="J411" i="8"/>
  <c r="J16" i="8"/>
  <c r="E263" i="8" l="1"/>
  <c r="E276" i="8" s="1"/>
  <c r="E384" i="8"/>
  <c r="D398" i="8"/>
  <c r="H475" i="2"/>
  <c r="H734" i="2"/>
  <c r="H735" i="2" s="1"/>
  <c r="H712" i="2"/>
  <c r="H713" i="2" s="1"/>
  <c r="H714" i="2" s="1"/>
  <c r="H745" i="2"/>
  <c r="H464" i="2"/>
  <c r="H465" i="2" s="1"/>
  <c r="H498" i="2"/>
  <c r="H499" i="2" s="1"/>
  <c r="I604" i="2"/>
  <c r="I605" i="2" s="1"/>
  <c r="I606" i="2" s="1"/>
  <c r="K903" i="2"/>
  <c r="K907" i="2" s="1"/>
  <c r="H453" i="2"/>
  <c r="H454" i="2" s="1"/>
  <c r="H455" i="2" s="1"/>
  <c r="I580" i="2"/>
  <c r="I581" i="2" s="1"/>
  <c r="I582" i="2" s="1"/>
  <c r="G346" i="8" s="1"/>
  <c r="J346" i="8" s="1"/>
  <c r="H768" i="2"/>
  <c r="H769" i="2" s="1"/>
  <c r="H808" i="2"/>
  <c r="H809" i="2" s="1"/>
  <c r="H810" i="2" s="1"/>
  <c r="H723" i="2"/>
  <c r="H724" i="2" s="1"/>
  <c r="I665" i="2"/>
  <c r="I666" i="2" s="1"/>
  <c r="I667" i="2" s="1"/>
  <c r="I616" i="2"/>
  <c r="I617" i="2" s="1"/>
  <c r="I618" i="2" s="1"/>
  <c r="H442" i="2"/>
  <c r="H443" i="2" s="1"/>
  <c r="H444" i="2" s="1"/>
  <c r="G413" i="8"/>
  <c r="J413" i="8" s="1"/>
  <c r="G459" i="8"/>
  <c r="J459" i="8" s="1"/>
  <c r="G425" i="8"/>
  <c r="G437" i="8" s="1"/>
  <c r="H509" i="2"/>
  <c r="H510" i="2" s="1"/>
  <c r="H466" i="2"/>
  <c r="H981" i="2"/>
  <c r="H542" i="2"/>
  <c r="H543" i="2" s="1"/>
  <c r="H544" i="2" s="1"/>
  <c r="I677" i="2"/>
  <c r="I678" i="2" s="1"/>
  <c r="I679" i="2" s="1"/>
  <c r="H486" i="2"/>
  <c r="H487" i="2" s="1"/>
  <c r="H488" i="2" s="1"/>
  <c r="H756" i="2"/>
  <c r="H757" i="2" s="1"/>
  <c r="I629" i="2"/>
  <c r="I630" i="2" s="1"/>
  <c r="I631" i="2" s="1"/>
  <c r="H943" i="2"/>
  <c r="H945" i="2" s="1"/>
  <c r="H797" i="2"/>
  <c r="H798" i="2" s="1"/>
  <c r="H799" i="2" s="1"/>
  <c r="I653" i="2"/>
  <c r="I654" i="2" s="1"/>
  <c r="I655" i="2" s="1"/>
  <c r="G208" i="8" s="1"/>
  <c r="J208" i="8" s="1"/>
  <c r="H500" i="2"/>
  <c r="H1005" i="2"/>
  <c r="G109" i="2"/>
  <c r="H531" i="2"/>
  <c r="I592" i="2"/>
  <c r="H788" i="2"/>
  <c r="H701" i="2"/>
  <c r="I690" i="2"/>
  <c r="I691" i="2" s="1"/>
  <c r="H520" i="2"/>
  <c r="H521" i="2" s="1"/>
  <c r="H969" i="2"/>
  <c r="H1017" i="2"/>
  <c r="C657" i="2"/>
  <c r="C669" i="2" s="1"/>
  <c r="C694" i="2" s="1"/>
  <c r="C705" i="2" s="1"/>
  <c r="C645" i="2"/>
  <c r="C468" i="2"/>
  <c r="C479" i="2"/>
  <c r="C491" i="2" s="1"/>
  <c r="C502" i="2" s="1"/>
  <c r="C513" i="2" s="1"/>
  <c r="C524" i="2" s="1"/>
  <c r="C535" i="2" s="1"/>
  <c r="K926" i="2"/>
  <c r="H725" i="2"/>
  <c r="H476" i="2"/>
  <c r="H477" i="2" s="1"/>
  <c r="I567" i="2"/>
  <c r="I641" i="2"/>
  <c r="I555" i="2"/>
  <c r="H993" i="2"/>
  <c r="I11" i="10"/>
  <c r="M11" i="10" s="1"/>
  <c r="H746" i="2"/>
  <c r="H747" i="2" s="1"/>
  <c r="H736" i="2"/>
  <c r="J425" i="8" l="1"/>
  <c r="H770" i="2"/>
  <c r="G776" i="2" s="1"/>
  <c r="H776" i="2" s="1"/>
  <c r="H758" i="2"/>
  <c r="H511" i="2"/>
  <c r="G368" i="8" s="1"/>
  <c r="J368" i="8" s="1"/>
  <c r="G98" i="2"/>
  <c r="G99" i="2" s="1"/>
  <c r="H99" i="2" s="1"/>
  <c r="G100" i="2" s="1"/>
  <c r="H100" i="2" s="1"/>
  <c r="G101" i="2" s="1"/>
  <c r="H101" i="2" s="1"/>
  <c r="G381" i="8"/>
  <c r="J381" i="8" s="1"/>
  <c r="G86" i="2"/>
  <c r="H522" i="2"/>
  <c r="I359" i="2"/>
  <c r="I363" i="2" s="1"/>
  <c r="I364" i="2" s="1"/>
  <c r="I144" i="2"/>
  <c r="I148" i="2" s="1"/>
  <c r="I149" i="2" s="1"/>
  <c r="I150" i="2" s="1"/>
  <c r="I692" i="2"/>
  <c r="G423" i="8" s="1"/>
  <c r="G435" i="8" s="1"/>
  <c r="J435" i="8" s="1"/>
  <c r="H702" i="2"/>
  <c r="H703" i="2" s="1"/>
  <c r="H532" i="2"/>
  <c r="H533" i="2" s="1"/>
  <c r="I593" i="2"/>
  <c r="I594" i="2"/>
  <c r="G460" i="8"/>
  <c r="J460" i="8" s="1"/>
  <c r="G360" i="8"/>
  <c r="G348" i="8"/>
  <c r="J348" i="8" s="1"/>
  <c r="G448" i="8"/>
  <c r="J448" i="8" s="1"/>
  <c r="G59" i="8"/>
  <c r="J59" i="8" s="1"/>
  <c r="G72" i="8"/>
  <c r="J72" i="8" s="1"/>
  <c r="I642" i="2"/>
  <c r="I643" i="2" s="1"/>
  <c r="I568" i="2"/>
  <c r="I569" i="2" s="1"/>
  <c r="I556" i="2"/>
  <c r="I557" i="2" s="1"/>
  <c r="G358" i="8" s="1"/>
  <c r="J358" i="8" s="1"/>
  <c r="J437" i="8"/>
  <c r="G447" i="8"/>
  <c r="J447" i="8" s="1"/>
  <c r="C727" i="2"/>
  <c r="C682" i="2" s="1"/>
  <c r="C738" i="2" s="1"/>
  <c r="C716" i="2"/>
  <c r="G392" i="8" l="1"/>
  <c r="J392" i="8" s="1"/>
  <c r="I241" i="2"/>
  <c r="I245" i="2" s="1"/>
  <c r="I246" i="2" s="1"/>
  <c r="I247" i="2" s="1"/>
  <c r="I201" i="2"/>
  <c r="I205" i="2" s="1"/>
  <c r="I206" i="2" s="1"/>
  <c r="I207" i="2" s="1"/>
  <c r="I214" i="2"/>
  <c r="I218" i="2" s="1"/>
  <c r="I219" i="2" s="1"/>
  <c r="I220" i="2" s="1"/>
  <c r="I186" i="2"/>
  <c r="I190" i="2" s="1"/>
  <c r="I191" i="2" s="1"/>
  <c r="I192" i="2" s="1"/>
  <c r="I346" i="2"/>
  <c r="I350" i="2" s="1"/>
  <c r="I351" i="2" s="1"/>
  <c r="I352" i="2" s="1"/>
  <c r="I172" i="2"/>
  <c r="I176" i="2" s="1"/>
  <c r="I177" i="2" s="1"/>
  <c r="I178" i="2" s="1"/>
  <c r="I130" i="2"/>
  <c r="I134" i="2" s="1"/>
  <c r="I135" i="2" s="1"/>
  <c r="I136" i="2" s="1"/>
  <c r="I227" i="2"/>
  <c r="I231" i="2" s="1"/>
  <c r="I232" i="2" s="1"/>
  <c r="I233" i="2" s="1"/>
  <c r="I158" i="2"/>
  <c r="I162" i="2" s="1"/>
  <c r="I163" i="2" s="1"/>
  <c r="I164" i="2" s="1"/>
  <c r="I365" i="2"/>
  <c r="J423" i="8"/>
  <c r="G251" i="8"/>
  <c r="J251" i="8" s="1"/>
  <c r="G224" i="8"/>
  <c r="G237" i="8"/>
  <c r="J237" i="8" s="1"/>
  <c r="G303" i="8"/>
  <c r="J303" i="8" s="1"/>
  <c r="G424" i="8"/>
  <c r="G372" i="8"/>
  <c r="J372" i="8" s="1"/>
  <c r="G347" i="8"/>
  <c r="G397" i="8"/>
  <c r="J397" i="8" s="1"/>
  <c r="G102" i="2"/>
  <c r="H103" i="2" s="1"/>
  <c r="I151" i="2"/>
  <c r="G80" i="8"/>
  <c r="J80" i="8" s="1"/>
  <c r="I254" i="2"/>
  <c r="I258" i="2" s="1"/>
  <c r="H280" i="2"/>
  <c r="H293" i="2" s="1"/>
  <c r="H306" i="2" s="1"/>
  <c r="H320" i="2" s="1"/>
  <c r="H333" i="2" s="1"/>
  <c r="H346" i="2" s="1"/>
  <c r="H373" i="2" s="1"/>
  <c r="H386" i="2" s="1"/>
  <c r="H400" i="2" s="1"/>
  <c r="H413" i="2" s="1"/>
  <c r="G373" i="8"/>
  <c r="J360" i="8"/>
  <c r="C760" i="2"/>
  <c r="C779" i="2" s="1"/>
  <c r="C749" i="2"/>
  <c r="I373" i="2" l="1"/>
  <c r="I377" i="2" s="1"/>
  <c r="I378" i="2" s="1"/>
  <c r="I379" i="2" s="1"/>
  <c r="G84" i="8" s="1"/>
  <c r="J84" i="8" s="1"/>
  <c r="I293" i="2"/>
  <c r="I297" i="2" s="1"/>
  <c r="I298" i="2" s="1"/>
  <c r="I299" i="2" s="1"/>
  <c r="I386" i="2"/>
  <c r="I390" i="2" s="1"/>
  <c r="I391" i="2" s="1"/>
  <c r="I320" i="2"/>
  <c r="I324" i="2" s="1"/>
  <c r="I325" i="2" s="1"/>
  <c r="I326" i="2" s="1"/>
  <c r="I333" i="2"/>
  <c r="I337" i="2" s="1"/>
  <c r="I338" i="2" s="1"/>
  <c r="I339" i="2" s="1"/>
  <c r="I306" i="2"/>
  <c r="I310" i="2" s="1"/>
  <c r="I311" i="2" s="1"/>
  <c r="I312" i="2" s="1"/>
  <c r="I280" i="2"/>
  <c r="I284" i="2" s="1"/>
  <c r="I285" i="2" s="1"/>
  <c r="I286" i="2" s="1"/>
  <c r="I400" i="2"/>
  <c r="I404" i="2" s="1"/>
  <c r="I405" i="2" s="1"/>
  <c r="I406" i="2" s="1"/>
  <c r="H120" i="2"/>
  <c r="H122" i="2" s="1"/>
  <c r="I392" i="2"/>
  <c r="G235" i="8" s="1"/>
  <c r="J235" i="8" s="1"/>
  <c r="G265" i="8"/>
  <c r="J224" i="8"/>
  <c r="J347" i="8"/>
  <c r="G359" i="8"/>
  <c r="J359" i="8" s="1"/>
  <c r="G436" i="8"/>
  <c r="J436" i="8" s="1"/>
  <c r="J424" i="8"/>
  <c r="H110" i="2"/>
  <c r="G111" i="2" s="1"/>
  <c r="H111" i="2" s="1"/>
  <c r="G112" i="2" s="1"/>
  <c r="H112" i="2" s="1"/>
  <c r="G113" i="2" s="1"/>
  <c r="G380" i="8"/>
  <c r="G367" i="8"/>
  <c r="J367" i="8" s="1"/>
  <c r="I165" i="2"/>
  <c r="G775" i="2"/>
  <c r="H775" i="2" s="1"/>
  <c r="I193" i="2"/>
  <c r="I137" i="2"/>
  <c r="I259" i="2"/>
  <c r="I260" i="2" s="1"/>
  <c r="I413" i="2"/>
  <c r="I417" i="2" s="1"/>
  <c r="G773" i="2"/>
  <c r="H773" i="2" s="1"/>
  <c r="H426" i="2"/>
  <c r="I426" i="2" s="1"/>
  <c r="I430" i="2" s="1"/>
  <c r="I179" i="2"/>
  <c r="J373" i="8"/>
  <c r="G384" i="8"/>
  <c r="G231" i="8"/>
  <c r="J231" i="8" s="1"/>
  <c r="G110" i="8"/>
  <c r="J110" i="8" s="1"/>
  <c r="G24" i="8"/>
  <c r="J24" i="8" s="1"/>
  <c r="G1027" i="2"/>
  <c r="H1027" i="2" s="1"/>
  <c r="G218" i="8"/>
  <c r="G123" i="8"/>
  <c r="J123" i="8" s="1"/>
  <c r="G38" i="8"/>
  <c r="J38" i="8" s="1"/>
  <c r="G829" i="2"/>
  <c r="G457" i="8"/>
  <c r="J457" i="8" s="1"/>
  <c r="G850" i="2"/>
  <c r="F18" i="10"/>
  <c r="G320" i="8"/>
  <c r="J320" i="8" s="1"/>
  <c r="G370" i="8"/>
  <c r="G181" i="8"/>
  <c r="I929" i="2"/>
  <c r="F21" i="10"/>
  <c r="G421" i="8"/>
  <c r="G137" i="8"/>
  <c r="J137" i="8" s="1"/>
  <c r="G330" i="8"/>
  <c r="J330" i="8" s="1"/>
  <c r="G244" i="8"/>
  <c r="J244" i="8" s="1"/>
  <c r="G169" i="8"/>
  <c r="J169" i="8" s="1"/>
  <c r="G310" i="8"/>
  <c r="J310" i="8" s="1"/>
  <c r="G67" i="8"/>
  <c r="J67" i="8" s="1"/>
  <c r="G55" i="8"/>
  <c r="J55" i="8" s="1"/>
  <c r="I910" i="2"/>
  <c r="G100" i="8"/>
  <c r="J100" i="8" s="1"/>
  <c r="G259" i="8"/>
  <c r="G154" i="8"/>
  <c r="J154" i="8" s="1"/>
  <c r="I432" i="2" l="1"/>
  <c r="I905" i="2"/>
  <c r="K905" i="2" s="1"/>
  <c r="H87" i="2"/>
  <c r="G88" i="2" s="1"/>
  <c r="G121" i="2"/>
  <c r="G222" i="8"/>
  <c r="J222" i="8" s="1"/>
  <c r="G248" i="8"/>
  <c r="G289" i="8" s="1"/>
  <c r="J289" i="8" s="1"/>
  <c r="J265" i="8"/>
  <c r="G278" i="8"/>
  <c r="H114" i="2"/>
  <c r="G8" i="8" s="1"/>
  <c r="H777" i="2"/>
  <c r="G483" i="8"/>
  <c r="J483" i="8" s="1"/>
  <c r="J181" i="8"/>
  <c r="G192" i="8"/>
  <c r="I431" i="2"/>
  <c r="K929" i="2"/>
  <c r="I930" i="2"/>
  <c r="K930" i="2" s="1"/>
  <c r="G223" i="8"/>
  <c r="J223" i="8" s="1"/>
  <c r="G323" i="8"/>
  <c r="J323" i="8" s="1"/>
  <c r="G157" i="8"/>
  <c r="J157" i="8" s="1"/>
  <c r="G832" i="2"/>
  <c r="G476" i="8"/>
  <c r="J476" i="8" s="1"/>
  <c r="G409" i="8"/>
  <c r="J409" i="8" s="1"/>
  <c r="G126" i="8"/>
  <c r="J126" i="8" s="1"/>
  <c r="G492" i="8"/>
  <c r="J492" i="8" s="1"/>
  <c r="G420" i="8"/>
  <c r="G195" i="8"/>
  <c r="J195" i="8" s="1"/>
  <c r="G455" i="8"/>
  <c r="J455" i="8" s="1"/>
  <c r="G344" i="8"/>
  <c r="G313" i="8"/>
  <c r="J313" i="8" s="1"/>
  <c r="G206" i="8"/>
  <c r="J206" i="8" s="1"/>
  <c r="G79" i="8"/>
  <c r="J79" i="8" s="1"/>
  <c r="G236" i="8"/>
  <c r="G140" i="8"/>
  <c r="J140" i="8" s="1"/>
  <c r="G333" i="8"/>
  <c r="J333" i="8" s="1"/>
  <c r="G41" i="8"/>
  <c r="J41" i="8" s="1"/>
  <c r="I418" i="2"/>
  <c r="I419" i="2" s="1"/>
  <c r="G85" i="8" s="1"/>
  <c r="J85" i="8" s="1"/>
  <c r="J829" i="2"/>
  <c r="G839" i="2"/>
  <c r="J839" i="2" s="1"/>
  <c r="G398" i="8"/>
  <c r="J398" i="8" s="1"/>
  <c r="J384" i="8"/>
  <c r="G81" i="8"/>
  <c r="J81" i="8" s="1"/>
  <c r="G10" i="8"/>
  <c r="J10" i="8" s="1"/>
  <c r="I911" i="2"/>
  <c r="K911" i="2" s="1"/>
  <c r="K910" i="2"/>
  <c r="J259" i="8"/>
  <c r="G272" i="8"/>
  <c r="G860" i="2"/>
  <c r="J850" i="2"/>
  <c r="G467" i="8"/>
  <c r="J467" i="8" s="1"/>
  <c r="G172" i="8"/>
  <c r="J172" i="8" s="1"/>
  <c r="G27" i="8"/>
  <c r="J27" i="8" s="1"/>
  <c r="G262" i="8"/>
  <c r="G247" i="8"/>
  <c r="J247" i="8" s="1"/>
  <c r="G71" i="8"/>
  <c r="J71" i="8" s="1"/>
  <c r="G184" i="8"/>
  <c r="J184" i="8" s="1"/>
  <c r="G234" i="8"/>
  <c r="J234" i="8" s="1"/>
  <c r="G221" i="8"/>
  <c r="J221" i="8" s="1"/>
  <c r="J380" i="8"/>
  <c r="G391" i="8"/>
  <c r="J391" i="8" s="1"/>
  <c r="G393" i="8"/>
  <c r="J393" i="8" s="1"/>
  <c r="J370" i="8"/>
  <c r="G382" i="8"/>
  <c r="G433" i="8"/>
  <c r="G445" i="8" s="1"/>
  <c r="J445" i="8" s="1"/>
  <c r="J421" i="8"/>
  <c r="G343" i="8"/>
  <c r="J218" i="8"/>
  <c r="J248" i="8" l="1"/>
  <c r="G263" i="8"/>
  <c r="J263" i="8" s="1"/>
  <c r="G66" i="8"/>
  <c r="J66" i="8" s="1"/>
  <c r="H88" i="2"/>
  <c r="G89" i="2" s="1"/>
  <c r="H89" i="2" s="1"/>
  <c r="I928" i="2"/>
  <c r="K928" i="2" s="1"/>
  <c r="K933" i="2" s="1"/>
  <c r="G37" i="8"/>
  <c r="J37" i="8" s="1"/>
  <c r="G23" i="8"/>
  <c r="J23" i="8" s="1"/>
  <c r="F19" i="10"/>
  <c r="G54" i="8"/>
  <c r="J54" i="8" s="1"/>
  <c r="J8" i="8"/>
  <c r="J17" i="8" s="1"/>
  <c r="F22" i="10"/>
  <c r="J278" i="8"/>
  <c r="G292" i="8"/>
  <c r="J292" i="8" s="1"/>
  <c r="G1026" i="2"/>
  <c r="H1026" i="2" s="1"/>
  <c r="H1028" i="2" s="1"/>
  <c r="H1032" i="2" s="1"/>
  <c r="G817" i="2"/>
  <c r="J817" i="2" s="1"/>
  <c r="J823" i="2" s="1"/>
  <c r="I909" i="2"/>
  <c r="K909" i="2" s="1"/>
  <c r="K914" i="2" s="1"/>
  <c r="J344" i="8"/>
  <c r="G356" i="8"/>
  <c r="G432" i="8"/>
  <c r="J432" i="8" s="1"/>
  <c r="J438" i="8" s="1"/>
  <c r="J420" i="8"/>
  <c r="J426" i="8" s="1"/>
  <c r="G276" i="8"/>
  <c r="J276" i="8" s="1"/>
  <c r="G394" i="8"/>
  <c r="J394" i="8" s="1"/>
  <c r="J382" i="8"/>
  <c r="J385" i="8" s="1"/>
  <c r="J343" i="8"/>
  <c r="G355" i="8"/>
  <c r="J355" i="8" s="1"/>
  <c r="G870" i="2"/>
  <c r="J870" i="2" s="1"/>
  <c r="J860" i="2"/>
  <c r="G285" i="8"/>
  <c r="J272" i="8"/>
  <c r="G203" i="8"/>
  <c r="J203" i="8" s="1"/>
  <c r="J192" i="8"/>
  <c r="G264" i="8"/>
  <c r="G291" i="8"/>
  <c r="J291" i="8" s="1"/>
  <c r="J236" i="8"/>
  <c r="G250" i="8"/>
  <c r="J250" i="8" s="1"/>
  <c r="G842" i="2"/>
  <c r="J832" i="2"/>
  <c r="J86" i="8"/>
  <c r="G275" i="8"/>
  <c r="J262" i="8"/>
  <c r="G91" i="2" l="1"/>
  <c r="G90" i="2"/>
  <c r="J349" i="8"/>
  <c r="J356" i="8"/>
  <c r="J361" i="8" s="1"/>
  <c r="G369" i="8"/>
  <c r="J369" i="8" s="1"/>
  <c r="J374" i="8" s="1"/>
  <c r="G853" i="2"/>
  <c r="J842" i="2"/>
  <c r="J285" i="8"/>
  <c r="G299" i="8"/>
  <c r="J299" i="8" s="1"/>
  <c r="J304" i="8" s="1"/>
  <c r="J275" i="8"/>
  <c r="G288" i="8"/>
  <c r="J288" i="8" s="1"/>
  <c r="J264" i="8"/>
  <c r="G277" i="8"/>
  <c r="J277" i="8" s="1"/>
  <c r="H92" i="2" l="1"/>
  <c r="G861" i="2" s="1"/>
  <c r="J861" i="2" s="1"/>
  <c r="J853" i="2"/>
  <c r="G863" i="2"/>
  <c r="G410" i="8" l="1"/>
  <c r="J410" i="8" s="1"/>
  <c r="J414" i="8" s="1"/>
  <c r="G321" i="8"/>
  <c r="J321" i="8" s="1"/>
  <c r="J324" i="8" s="1"/>
  <c r="F17" i="10"/>
  <c r="H17" i="10" s="1"/>
  <c r="I17" i="10" s="1"/>
  <c r="G491" i="8"/>
  <c r="J491" i="8" s="1"/>
  <c r="J493" i="8" s="1"/>
  <c r="G830" i="2"/>
  <c r="G840" i="2" s="1"/>
  <c r="G851" i="2" s="1"/>
  <c r="J851" i="2" s="1"/>
  <c r="J854" i="2" s="1"/>
  <c r="G170" i="8"/>
  <c r="J170" i="8" s="1"/>
  <c r="J175" i="8" s="1"/>
  <c r="G124" i="8"/>
  <c r="G155" i="8" s="1"/>
  <c r="J155" i="8" s="1"/>
  <c r="J160" i="8" s="1"/>
  <c r="G331" i="8"/>
  <c r="J331" i="8" s="1"/>
  <c r="J334" i="8" s="1"/>
  <c r="G101" i="8"/>
  <c r="J101" i="8" s="1"/>
  <c r="J104" i="8" s="1"/>
  <c r="G25" i="8"/>
  <c r="J25" i="8" s="1"/>
  <c r="J31" i="8" s="1"/>
  <c r="G484" i="8"/>
  <c r="J484" i="8" s="1"/>
  <c r="J485" i="8" s="1"/>
  <c r="G871" i="2"/>
  <c r="J871" i="2" s="1"/>
  <c r="F20" i="10"/>
  <c r="H20" i="10" s="1"/>
  <c r="I20" i="10" s="1"/>
  <c r="G232" i="8"/>
  <c r="J232" i="8" s="1"/>
  <c r="J238" i="8" s="1"/>
  <c r="G475" i="8"/>
  <c r="J475" i="8" s="1"/>
  <c r="J477" i="8" s="1"/>
  <c r="G56" i="8"/>
  <c r="J56" i="8" s="1"/>
  <c r="J60" i="8" s="1"/>
  <c r="G93" i="8"/>
  <c r="J93" i="8" s="1"/>
  <c r="J94" i="8" s="1"/>
  <c r="G468" i="8"/>
  <c r="J468" i="8" s="1"/>
  <c r="J469" i="8" s="1"/>
  <c r="G68" i="8"/>
  <c r="J68" i="8" s="1"/>
  <c r="J73" i="8" s="1"/>
  <c r="G138" i="8"/>
  <c r="J138" i="8" s="1"/>
  <c r="J145" i="8" s="1"/>
  <c r="G456" i="8"/>
  <c r="J456" i="8" s="1"/>
  <c r="J461" i="8" s="1"/>
  <c r="G260" i="8"/>
  <c r="G273" i="8" s="1"/>
  <c r="G286" i="8" s="1"/>
  <c r="J286" i="8" s="1"/>
  <c r="J293" i="8" s="1"/>
  <c r="G444" i="8"/>
  <c r="J444" i="8" s="1"/>
  <c r="J449" i="8" s="1"/>
  <c r="G39" i="8"/>
  <c r="J39" i="8" s="1"/>
  <c r="J45" i="8" s="1"/>
  <c r="G182" i="8"/>
  <c r="J182" i="8" s="1"/>
  <c r="J186" i="8" s="1"/>
  <c r="G395" i="8"/>
  <c r="J395" i="8" s="1"/>
  <c r="J400" i="8" s="1"/>
  <c r="G219" i="8"/>
  <c r="J219" i="8" s="1"/>
  <c r="J225" i="8" s="1"/>
  <c r="G245" i="8"/>
  <c r="J245" i="8" s="1"/>
  <c r="J252" i="8" s="1"/>
  <c r="G311" i="8"/>
  <c r="J311" i="8" s="1"/>
  <c r="J314" i="8" s="1"/>
  <c r="G111" i="8"/>
  <c r="J111" i="8" s="1"/>
  <c r="J114" i="8" s="1"/>
  <c r="G873" i="2"/>
  <c r="J873" i="2" s="1"/>
  <c r="J863" i="2"/>
  <c r="J864" i="2" s="1"/>
  <c r="J840" i="2" l="1"/>
  <c r="J843" i="2" s="1"/>
  <c r="J844" i="2" s="1"/>
  <c r="J830" i="2"/>
  <c r="J833" i="2" s="1"/>
  <c r="I23" i="10"/>
  <c r="M23" i="10" s="1"/>
  <c r="M26" i="10" s="1"/>
  <c r="J273" i="8"/>
  <c r="J279" i="8" s="1"/>
  <c r="J124" i="8"/>
  <c r="J131" i="8" s="1"/>
  <c r="J260" i="8"/>
  <c r="J266" i="8" s="1"/>
  <c r="J874" i="2"/>
  <c r="G193" i="8"/>
  <c r="G204" i="8" l="1"/>
  <c r="J204" i="8" s="1"/>
  <c r="J209" i="8" s="1"/>
  <c r="J193" i="8"/>
  <c r="J197" i="8" s="1"/>
</calcChain>
</file>

<file path=xl/sharedStrings.xml><?xml version="1.0" encoding="utf-8"?>
<sst xmlns="http://schemas.openxmlformats.org/spreadsheetml/2006/main" count="2701" uniqueCount="630">
  <si>
    <t>Datum:</t>
  </si>
  <si>
    <t>številka:</t>
  </si>
  <si>
    <t>Opis področja</t>
  </si>
  <si>
    <t>VOZILA</t>
  </si>
  <si>
    <t>1.0</t>
  </si>
  <si>
    <t>2.0</t>
  </si>
  <si>
    <t>3.0</t>
  </si>
  <si>
    <t>DELOVNI STROJI</t>
  </si>
  <si>
    <t>STROJNO ORODJE</t>
  </si>
  <si>
    <t>4.0</t>
  </si>
  <si>
    <t>em</t>
  </si>
  <si>
    <t>cena /eur</t>
  </si>
  <si>
    <t>Osebno vozilo</t>
  </si>
  <si>
    <t>Tovorno vozilo do 3,5 t sdm</t>
  </si>
  <si>
    <t>ura</t>
  </si>
  <si>
    <t>Pregledniško vozilo s preglednikom</t>
  </si>
  <si>
    <t>Unimog (razreda 1200, 1400, 1600)</t>
  </si>
  <si>
    <t>Traktor 91 - 120 ks</t>
  </si>
  <si>
    <t>1.1</t>
  </si>
  <si>
    <t>1.2</t>
  </si>
  <si>
    <t>1.3</t>
  </si>
  <si>
    <t>Traktorska prikolica</t>
  </si>
  <si>
    <t>Čelno in bočno puhalo (rezkar)</t>
  </si>
  <si>
    <t>Tovorna prikolica do 750 kg sdm</t>
  </si>
  <si>
    <t>Tovorna prikolica do 3,5 t sdm</t>
  </si>
  <si>
    <t>Tovorno vozilo s samonakladalno nadgradnjo</t>
  </si>
  <si>
    <t>3.1</t>
  </si>
  <si>
    <t>3.2</t>
  </si>
  <si>
    <t>3.3</t>
  </si>
  <si>
    <t>3.4</t>
  </si>
  <si>
    <t>3.5</t>
  </si>
  <si>
    <t>3.6</t>
  </si>
  <si>
    <t>3.7</t>
  </si>
  <si>
    <t xml:space="preserve">Nakladalec z žlico do 1 m3 </t>
  </si>
  <si>
    <t>3.8</t>
  </si>
  <si>
    <t>3.9</t>
  </si>
  <si>
    <t>OZNAKA POSTAVKE</t>
  </si>
  <si>
    <t>OPIS</t>
  </si>
  <si>
    <t>NABAVNA VREDNOST (EUR)</t>
  </si>
  <si>
    <t>KOLIČINA (l/h)</t>
  </si>
  <si>
    <t>CENA</t>
  </si>
  <si>
    <t>SKUPAJ:</t>
  </si>
  <si>
    <t>Vibracijski valjar 1,5 t</t>
  </si>
  <si>
    <t>Stroj za pometanje cest</t>
  </si>
  <si>
    <t>3.10</t>
  </si>
  <si>
    <t>3.11</t>
  </si>
  <si>
    <t>3.12</t>
  </si>
  <si>
    <t>3.13</t>
  </si>
  <si>
    <t>Viličar 3 t</t>
  </si>
  <si>
    <t>3.14</t>
  </si>
  <si>
    <t>STROJNO ORODJE (cena brez operaterja)</t>
  </si>
  <si>
    <t>4.1</t>
  </si>
  <si>
    <t>4.2</t>
  </si>
  <si>
    <t>4.3</t>
  </si>
  <si>
    <t>4.4</t>
  </si>
  <si>
    <t>Ročna motorna kosa</t>
  </si>
  <si>
    <t>4.5</t>
  </si>
  <si>
    <t>Ročne motorne škarje</t>
  </si>
  <si>
    <t>Motorna žaga</t>
  </si>
  <si>
    <t>Vibracijska plošča</t>
  </si>
  <si>
    <t>Električno udarno kladivo</t>
  </si>
  <si>
    <t>Vibracijski vrtalnik</t>
  </si>
  <si>
    <t>Vibracisjki nabijalec</t>
  </si>
  <si>
    <t>Postavka:</t>
  </si>
  <si>
    <t>Mešalec za beton</t>
  </si>
  <si>
    <t>Krožna žaga namizna</t>
  </si>
  <si>
    <t>Varilni aparat</t>
  </si>
  <si>
    <t>Ročna kosilnica mulčar</t>
  </si>
  <si>
    <t>4.10</t>
  </si>
  <si>
    <t>Pihalnik listja</t>
  </si>
  <si>
    <t>Višinski obrezovalnik vej</t>
  </si>
  <si>
    <t>Tovorno vozilo kanaljet</t>
  </si>
  <si>
    <t>Stroj za rezanje asfalta</t>
  </si>
  <si>
    <t>m1</t>
  </si>
  <si>
    <t>DELO</t>
  </si>
  <si>
    <t>5.0</t>
  </si>
  <si>
    <t>5.1</t>
  </si>
  <si>
    <t>5.2</t>
  </si>
  <si>
    <t>5.3</t>
  </si>
  <si>
    <t>5.4</t>
  </si>
  <si>
    <t>5.5</t>
  </si>
  <si>
    <t>5.6</t>
  </si>
  <si>
    <t>5.7</t>
  </si>
  <si>
    <t>5.8</t>
  </si>
  <si>
    <t>Delavec (vzdrževalec, operater orodij, voznik, strojnik)</t>
  </si>
  <si>
    <t>DODATKI NA DELO</t>
  </si>
  <si>
    <t>3.17</t>
  </si>
  <si>
    <t>3.18</t>
  </si>
  <si>
    <t>4.12</t>
  </si>
  <si>
    <t>4.14</t>
  </si>
  <si>
    <t>6.0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</si>
  <si>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</si>
  <si>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</si>
  <si>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</si>
  <si>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</si>
  <si>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</si>
  <si>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</si>
  <si>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</si>
  <si>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</si>
  <si>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</si>
  <si>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</si>
  <si>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</si>
  <si>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</si>
  <si>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</si>
  <si>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</si>
  <si>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</si>
  <si>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</si>
  <si>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</si>
  <si>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</si>
  <si>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</si>
  <si>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</si>
  <si>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višina dodatka</t>
  </si>
  <si>
    <t>35 %</t>
  </si>
  <si>
    <t>50 %</t>
  </si>
  <si>
    <t>2.1</t>
  </si>
  <si>
    <t>2.2</t>
  </si>
  <si>
    <t>2.3</t>
  </si>
  <si>
    <t>2.4</t>
  </si>
  <si>
    <t>2.5</t>
  </si>
  <si>
    <t>20 %</t>
  </si>
  <si>
    <t>15 %</t>
  </si>
  <si>
    <t>PREDDELA</t>
  </si>
  <si>
    <t>kpl</t>
  </si>
  <si>
    <t>1.4</t>
  </si>
  <si>
    <t>kos</t>
  </si>
  <si>
    <t>ZEMLJSKA DELA</t>
  </si>
  <si>
    <t>TESARSKA DELA</t>
  </si>
  <si>
    <t>ŽELEZOKRIVSKA DELA</t>
  </si>
  <si>
    <t>ZIDARSKA DELA</t>
  </si>
  <si>
    <t>ASFALTERSKA DELA</t>
  </si>
  <si>
    <t>7.0</t>
  </si>
  <si>
    <t>UREJANJE ZELENIH POVRŠIN</t>
  </si>
  <si>
    <t>7.1</t>
  </si>
  <si>
    <t>7.2</t>
  </si>
  <si>
    <t>7.3</t>
  </si>
  <si>
    <t>7.4</t>
  </si>
  <si>
    <t>Mazanje z emulzijo za asfalt od 31-100 m2</t>
  </si>
  <si>
    <t>7.5</t>
  </si>
  <si>
    <t>7.6</t>
  </si>
  <si>
    <t>7.7</t>
  </si>
  <si>
    <t>8.0</t>
  </si>
  <si>
    <t>Priprava izrisa cestne zapore po dovoljenju.</t>
  </si>
  <si>
    <t>Postavitev cestne zapore po dovoljenju.</t>
  </si>
  <si>
    <t>Postavitev interventne cestne zapore.</t>
  </si>
  <si>
    <t>DELA CESTNEGA GOSPODARSTVA</t>
  </si>
  <si>
    <t>Zamenjava droga cestno prometnega znaka</t>
  </si>
  <si>
    <t xml:space="preserve">Zamenjava cestenga smernika </t>
  </si>
  <si>
    <t>8.1</t>
  </si>
  <si>
    <t>8.2</t>
  </si>
  <si>
    <t>8.3</t>
  </si>
  <si>
    <t>8.4</t>
  </si>
  <si>
    <t>9.0</t>
  </si>
  <si>
    <t>9.1</t>
  </si>
  <si>
    <t>9.2</t>
  </si>
  <si>
    <t>9.3</t>
  </si>
  <si>
    <r>
      <rPr>
        <b/>
        <sz val="8"/>
        <color theme="1"/>
        <rFont val="Calibri"/>
        <family val="2"/>
        <charset val="238"/>
        <scheme val="minor"/>
      </rPr>
      <t>STROŠKI IZ NASLOVA OBVEZNOSTI DELOVNEGA RAZMERJA (</t>
    </r>
    <r>
      <rPr>
        <sz val="8"/>
        <color theme="1"/>
        <rFont val="Calibri"/>
        <family val="2"/>
        <charset val="238"/>
        <scheme val="minor"/>
      </rPr>
      <t xml:space="preserve">zdr. pregled, izobraž., varstvo pri delu, zaščitna del. sredstva, ceplenje) </t>
    </r>
  </si>
  <si>
    <t>CENA BRUTO (URA)</t>
  </si>
  <si>
    <t>Pripravljenost na domu</t>
  </si>
  <si>
    <r>
      <t>STROŠEK SKUPAJ</t>
    </r>
    <r>
      <rPr>
        <sz val="8"/>
        <color theme="1"/>
        <rFont val="Calibri"/>
        <family val="2"/>
        <charset val="238"/>
        <scheme val="minor"/>
      </rPr>
      <t xml:space="preserve"> (mesečno):</t>
    </r>
  </si>
  <si>
    <t>ZIMSKA SLUŽBA</t>
  </si>
  <si>
    <t>OSTALE STORITVE</t>
  </si>
  <si>
    <t>Hramba odsluženega / zapuščenega vozila</t>
  </si>
  <si>
    <t>Priprava stroja na zimo.</t>
  </si>
  <si>
    <t>Najem prostora za dislocirano skladišče.</t>
  </si>
  <si>
    <r>
      <rPr>
        <b/>
        <sz val="8"/>
        <color theme="1"/>
        <rFont val="Calibri"/>
        <family val="2"/>
        <charset val="238"/>
        <scheme val="minor"/>
      </rPr>
      <t>STROŠEK AMORTIZACIJE</t>
    </r>
    <r>
      <rPr>
        <sz val="8"/>
        <color theme="1"/>
        <rFont val="Calibri"/>
        <family val="2"/>
        <charset val="238"/>
        <scheme val="minor"/>
      </rPr>
      <t xml:space="preserve"> (mesečno)</t>
    </r>
  </si>
  <si>
    <t>PRIKLJUČKI ZA TOVORNA VOZILA IN TRAKTORJE</t>
  </si>
  <si>
    <r>
      <rPr>
        <b/>
        <sz val="8"/>
        <color theme="1"/>
        <rFont val="Calibri"/>
        <family val="2"/>
        <charset val="238"/>
        <scheme val="minor"/>
      </rPr>
      <t>OBRATOVALNII STROŠKI</t>
    </r>
    <r>
      <rPr>
        <sz val="8"/>
        <color theme="1"/>
        <rFont val="Calibri"/>
        <family val="2"/>
        <charset val="238"/>
        <scheme val="minor"/>
      </rPr>
      <t xml:space="preserve"> (registracija, zavarovanje, servis, vzdrževanje) (mesečno)</t>
    </r>
  </si>
  <si>
    <t>IZDELAVNE URE (em)</t>
  </si>
  <si>
    <r>
      <rPr>
        <b/>
        <sz val="8"/>
        <color theme="1"/>
        <rFont val="Calibri"/>
        <family val="2"/>
        <charset val="238"/>
        <scheme val="minor"/>
      </rPr>
      <t>STROŠEK DELA NORMATIVNO</t>
    </r>
    <r>
      <rPr>
        <sz val="8"/>
        <color theme="1"/>
        <rFont val="Calibri"/>
        <family val="2"/>
        <charset val="238"/>
        <scheme val="minor"/>
      </rPr>
      <t xml:space="preserve"> (ura)  </t>
    </r>
  </si>
  <si>
    <r>
      <rPr>
        <b/>
        <sz val="8"/>
        <color theme="1"/>
        <rFont val="Calibri"/>
        <family val="2"/>
        <charset val="238"/>
        <scheme val="minor"/>
      </rPr>
      <t>TRANSPORTNI STROŠKI</t>
    </r>
    <r>
      <rPr>
        <sz val="8"/>
        <color theme="1"/>
        <rFont val="Calibri"/>
        <family val="2"/>
        <charset val="238"/>
        <scheme val="minor"/>
      </rPr>
      <t xml:space="preserve"> (ura)</t>
    </r>
  </si>
  <si>
    <r>
      <rPr>
        <b/>
        <sz val="8"/>
        <color theme="1"/>
        <rFont val="Calibri"/>
        <family val="2"/>
        <charset val="238"/>
        <scheme val="minor"/>
      </rPr>
      <t>MATERIALNI STROŠK</t>
    </r>
    <r>
      <rPr>
        <sz val="8"/>
        <color theme="1"/>
        <rFont val="Calibri"/>
        <family val="2"/>
        <charset val="238"/>
        <scheme val="minor"/>
      </rPr>
      <t xml:space="preserve">I </t>
    </r>
  </si>
  <si>
    <t xml:space="preserve">Strokovna dela </t>
  </si>
  <si>
    <t>CENA MATERIALA</t>
  </si>
  <si>
    <t>DONOS NA ENOTO (5 %)</t>
  </si>
  <si>
    <t>Delavec</t>
  </si>
  <si>
    <t>9.4</t>
  </si>
  <si>
    <t>9.5</t>
  </si>
  <si>
    <t>9.6</t>
  </si>
  <si>
    <t>KANALIZACIJA</t>
  </si>
  <si>
    <r>
      <rPr>
        <b/>
        <sz val="8"/>
        <color theme="1"/>
        <rFont val="Calibri"/>
        <family val="2"/>
        <charset val="238"/>
        <scheme val="minor"/>
      </rPr>
      <t>STROJNA DELA NORMATIVNO</t>
    </r>
    <r>
      <rPr>
        <sz val="8"/>
        <color theme="1"/>
        <rFont val="Calibri"/>
        <family val="2"/>
        <charset val="238"/>
        <scheme val="minor"/>
      </rPr>
      <t xml:space="preserve"> (ura)</t>
    </r>
  </si>
  <si>
    <t>Drobni material (žičniki, kravate, distančniki)</t>
  </si>
  <si>
    <t>Žarjena žica</t>
  </si>
  <si>
    <r>
      <rPr>
        <b/>
        <sz val="8"/>
        <color theme="1"/>
        <rFont val="Calibri"/>
        <family val="2"/>
        <charset val="238"/>
        <scheme val="minor"/>
      </rPr>
      <t>STROŠKI STROJNEGA ORODJA</t>
    </r>
    <r>
      <rPr>
        <sz val="8"/>
        <color theme="1"/>
        <rFont val="Calibri"/>
        <family val="2"/>
        <charset val="238"/>
        <scheme val="minor"/>
      </rPr>
      <t xml:space="preserve"> (ura)</t>
    </r>
  </si>
  <si>
    <t>KOLIČINA MATERIALA</t>
  </si>
  <si>
    <r>
      <t>KOLIČINA MATERIALA</t>
    </r>
    <r>
      <rPr>
        <sz val="8"/>
        <color theme="1"/>
        <rFont val="Calibri"/>
        <family val="2"/>
        <charset val="238"/>
        <scheme val="minor"/>
      </rPr>
      <t xml:space="preserve"> </t>
    </r>
  </si>
  <si>
    <t>CENA (EM: kg)</t>
  </si>
  <si>
    <t>CENA (EM: m3)</t>
  </si>
  <si>
    <t>Deske in potoršni lesni material (obraba/m3)</t>
  </si>
  <si>
    <t>Opažni elementi in morali (obraba/m2)</t>
  </si>
  <si>
    <t>CENA (EM: m )</t>
  </si>
  <si>
    <t>CENA (EM: m2)</t>
  </si>
  <si>
    <t xml:space="preserve">KOLIČINA MATERIALA </t>
  </si>
  <si>
    <t>CENA(EM: kos)</t>
  </si>
  <si>
    <r>
      <rPr>
        <b/>
        <sz val="8"/>
        <color theme="1"/>
        <rFont val="Calibri"/>
        <family val="2"/>
        <charset val="238"/>
        <scheme val="minor"/>
      </rPr>
      <t>STROŠEK DELOVNIH STROJEV</t>
    </r>
    <r>
      <rPr>
        <sz val="8"/>
        <color theme="1"/>
        <rFont val="Calibri"/>
        <family val="2"/>
        <charset val="238"/>
        <scheme val="minor"/>
      </rPr>
      <t xml:space="preserve"> (ura)</t>
    </r>
  </si>
  <si>
    <r>
      <rPr>
        <b/>
        <sz val="8"/>
        <color theme="1"/>
        <rFont val="Calibri"/>
        <family val="2"/>
        <charset val="238"/>
        <scheme val="minor"/>
      </rPr>
      <t>STROŠEK DELOVNE OPREME</t>
    </r>
    <r>
      <rPr>
        <sz val="8"/>
        <color theme="1"/>
        <rFont val="Calibri"/>
        <family val="2"/>
        <charset val="238"/>
        <scheme val="minor"/>
      </rPr>
      <t xml:space="preserve"> (ura)</t>
    </r>
  </si>
  <si>
    <t>Programska oprema</t>
  </si>
  <si>
    <t>CENA (EM: kos)</t>
  </si>
  <si>
    <t>Sprej</t>
  </si>
  <si>
    <t>Količek</t>
  </si>
  <si>
    <t>Gis informacisjki sistem</t>
  </si>
  <si>
    <t>STROŠEK PODJETJA V BREME (URA)</t>
  </si>
  <si>
    <t>STROŠKI STROKOVNIH SLUŽB</t>
  </si>
  <si>
    <t xml:space="preserve">STROŠEK DELA:  </t>
  </si>
  <si>
    <t>ODSTOTEK</t>
  </si>
  <si>
    <r>
      <rPr>
        <b/>
        <sz val="8"/>
        <color theme="1"/>
        <rFont val="Calibri"/>
        <family val="2"/>
        <charset val="238"/>
        <scheme val="minor"/>
      </rPr>
      <t>STROŠEK DELA</t>
    </r>
    <r>
      <rPr>
        <sz val="8"/>
        <color theme="1"/>
        <rFont val="Calibri"/>
        <family val="2"/>
        <charset val="238"/>
        <scheme val="minor"/>
      </rPr>
      <t xml:space="preserve"> (mesečno) </t>
    </r>
  </si>
  <si>
    <t xml:space="preserve">CENA PRIPRAVLJENOST NA DOMU </t>
  </si>
  <si>
    <t xml:space="preserve">CENA DELA (URA) </t>
  </si>
  <si>
    <r>
      <rPr>
        <b/>
        <sz val="8"/>
        <color theme="1"/>
        <rFont val="Calibri"/>
        <family val="2"/>
        <charset val="238"/>
        <scheme val="minor"/>
      </rPr>
      <t>DONOS OSNOVNEGA SREDSTVA</t>
    </r>
    <r>
      <rPr>
        <sz val="8"/>
        <color theme="1"/>
        <rFont val="Calibri"/>
        <family val="2"/>
        <charset val="238"/>
        <scheme val="minor"/>
      </rPr>
      <t xml:space="preserve"> (5% na uro):</t>
    </r>
  </si>
  <si>
    <t>DELOVNE URE (mesec)</t>
  </si>
  <si>
    <t>AMORTIZACIJSKA DOBA (mesec)</t>
  </si>
  <si>
    <r>
      <rPr>
        <b/>
        <sz val="8"/>
        <color theme="1"/>
        <rFont val="Calibri"/>
        <family val="2"/>
        <charset val="238"/>
        <scheme val="minor"/>
      </rPr>
      <t>STROŠEK GORIVA (poraba 35 l/100 km)</t>
    </r>
    <r>
      <rPr>
        <sz val="8"/>
        <color theme="1"/>
        <rFont val="Calibri"/>
        <family val="2"/>
        <charset val="238"/>
        <scheme val="minor"/>
      </rPr>
      <t xml:space="preserve"> (mesečno)</t>
    </r>
  </si>
  <si>
    <r>
      <rPr>
        <b/>
        <sz val="8"/>
        <color theme="1"/>
        <rFont val="Calibri"/>
        <family val="2"/>
        <charset val="238"/>
        <scheme val="minor"/>
      </rPr>
      <t>OBRATOVALNII STROŠKI</t>
    </r>
    <r>
      <rPr>
        <sz val="8"/>
        <color theme="1"/>
        <rFont val="Calibri"/>
        <family val="2"/>
        <charset val="238"/>
        <scheme val="minor"/>
      </rPr>
      <t xml:space="preserve"> (registracija, zavarovanje, servis,  vzdrževanje) (mesečno)</t>
    </r>
  </si>
  <si>
    <r>
      <rPr>
        <b/>
        <sz val="8"/>
        <color theme="1"/>
        <rFont val="Calibri"/>
        <family val="2"/>
        <charset val="238"/>
        <scheme val="minor"/>
      </rPr>
      <t>OBRATOVALNII STROŠKI</t>
    </r>
    <r>
      <rPr>
        <sz val="8"/>
        <color theme="1"/>
        <rFont val="Calibri"/>
        <family val="2"/>
        <charset val="238"/>
        <scheme val="minor"/>
      </rPr>
      <t xml:space="preserve"> (zavarovanje, servis,  vzdrževanje) (mesečno)</t>
    </r>
  </si>
  <si>
    <t>,</t>
  </si>
  <si>
    <r>
      <rPr>
        <b/>
        <sz val="8"/>
        <color theme="1"/>
        <rFont val="Calibri"/>
        <family val="2"/>
        <charset val="238"/>
        <scheme val="minor"/>
      </rPr>
      <t>OBRATOVALNII STROŠKI</t>
    </r>
    <r>
      <rPr>
        <sz val="8"/>
        <color theme="1"/>
        <rFont val="Calibri"/>
        <family val="2"/>
        <charset val="238"/>
        <scheme val="minor"/>
      </rPr>
      <t xml:space="preserve"> (zavarovanje, servis, vzdrževanje) (mesečno)</t>
    </r>
  </si>
  <si>
    <r>
      <rPr>
        <b/>
        <sz val="8"/>
        <color theme="1"/>
        <rFont val="Calibri"/>
        <family val="2"/>
        <charset val="238"/>
        <scheme val="minor"/>
      </rPr>
      <t xml:space="preserve">DELOVNE URE </t>
    </r>
    <r>
      <rPr>
        <sz val="8"/>
        <color theme="1"/>
        <rFont val="Calibri"/>
        <family val="2"/>
        <charset val="238"/>
        <scheme val="minor"/>
      </rPr>
      <t xml:space="preserve"> (mesečno):</t>
    </r>
  </si>
  <si>
    <r>
      <rPr>
        <b/>
        <sz val="8"/>
        <color theme="1"/>
        <rFont val="Calibri"/>
        <family val="2"/>
        <charset val="238"/>
        <scheme val="minor"/>
      </rPr>
      <t>DONOS OSNOVNEGA SREDSTVA</t>
    </r>
    <r>
      <rPr>
        <sz val="8"/>
        <color theme="1"/>
        <rFont val="Calibri"/>
        <family val="2"/>
        <charset val="238"/>
        <scheme val="minor"/>
      </rPr>
      <t xml:space="preserve"> (5% NA URO)</t>
    </r>
  </si>
  <si>
    <r>
      <rPr>
        <b/>
        <sz val="8"/>
        <color theme="1"/>
        <rFont val="Calibri"/>
        <family val="2"/>
        <charset val="238"/>
        <scheme val="minor"/>
      </rPr>
      <t>STROŠEK GORIVA (poraba 3 l/h)</t>
    </r>
    <r>
      <rPr>
        <sz val="8"/>
        <color theme="1"/>
        <rFont val="Calibri"/>
        <family val="2"/>
        <charset val="238"/>
        <scheme val="minor"/>
      </rPr>
      <t xml:space="preserve"> (mesečno)</t>
    </r>
  </si>
  <si>
    <t>LASTNA CENA DELA</t>
  </si>
  <si>
    <t>Bočna traktorska kosilnica (mulčar)</t>
  </si>
  <si>
    <t>Enoosni traktor z mulčarjem ali puhalom</t>
  </si>
  <si>
    <t xml:space="preserve">Rezalka električna </t>
  </si>
  <si>
    <t>Električni bencinski agregat</t>
  </si>
  <si>
    <t>Papir A3 (kos)</t>
  </si>
  <si>
    <t>Delo izven delovnega časa (kolektivna pogodba)</t>
  </si>
  <si>
    <t>Postavitev cestno prometnega znaka (zamenjava droga + pz, brez materiala).</t>
  </si>
  <si>
    <t>Zamenjava cestno prometnega znaka.(zamenjava pz, brez materiala)</t>
  </si>
  <si>
    <t>CENA (EM: TONA)</t>
  </si>
  <si>
    <t>Povprečna količina (%)</t>
  </si>
  <si>
    <t>STROŠKI MANIPULACIJE</t>
  </si>
  <si>
    <t>Razklad, skladiščenje, naklad</t>
  </si>
  <si>
    <t xml:space="preserve">Količina (URA) </t>
  </si>
  <si>
    <t>Cena (URA)</t>
  </si>
  <si>
    <t>Stroški vzdrževanja objektov in energentov</t>
  </si>
  <si>
    <t>STROŠKI SKLADIŠČENJA</t>
  </si>
  <si>
    <t>ADMINISTRATIVNI STROŠKI</t>
  </si>
  <si>
    <t>Stroški priprave javne razpisa in postopka</t>
  </si>
  <si>
    <t>Stroški obračunavanja in odpisa</t>
  </si>
  <si>
    <t>Stroški vodenja skladiščnih zalog</t>
  </si>
  <si>
    <t>Količina (m3)</t>
  </si>
  <si>
    <t>8.2.</t>
  </si>
  <si>
    <r>
      <rPr>
        <b/>
        <sz val="8"/>
        <color theme="1"/>
        <rFont val="Calibri"/>
        <family val="2"/>
        <charset val="238"/>
        <scheme val="minor"/>
      </rPr>
      <t>NABAVNA CENA</t>
    </r>
    <r>
      <rPr>
        <sz val="8"/>
        <color theme="1"/>
        <rFont val="Calibri"/>
        <family val="2"/>
        <charset val="238"/>
        <scheme val="minor"/>
      </rPr>
      <t xml:space="preserve">(m3)  </t>
    </r>
  </si>
  <si>
    <t>POVPREČNA CENA (Eur/m3)</t>
  </si>
  <si>
    <t>CENA (EM:kpl)</t>
  </si>
  <si>
    <t xml:space="preserve">Količina (m2) </t>
  </si>
  <si>
    <t>Cena (m2)</t>
  </si>
  <si>
    <t>Najemnina za cestno prometne znake</t>
  </si>
  <si>
    <t>Stroški vzdrževanja objektov in energenti</t>
  </si>
  <si>
    <t>CENA  (m3)</t>
  </si>
  <si>
    <t>Pesek drobljenec Verd</t>
  </si>
  <si>
    <t>Odstranitev betonske zaščite prekopa v debelini 3 cm s pripravo na preplastitev</t>
  </si>
  <si>
    <t>Komunalni delavec.:</t>
  </si>
  <si>
    <t>KALKULACIJE CENIKA - REŽIJSKE URNE POSTAVKE</t>
  </si>
  <si>
    <t>KALKULACIJE CENIKA - enote mere in popisih kompletnih storitev</t>
  </si>
  <si>
    <t>DONOS</t>
  </si>
  <si>
    <t>Sadik Burzič</t>
  </si>
  <si>
    <t>pl./mesec</t>
  </si>
  <si>
    <t>mesečni št. ur</t>
  </si>
  <si>
    <t>Ibrahim Durakovič</t>
  </si>
  <si>
    <t>pl. r.</t>
  </si>
  <si>
    <t>5</t>
  </si>
  <si>
    <t>8</t>
  </si>
  <si>
    <t>10</t>
  </si>
  <si>
    <t>zap. št.</t>
  </si>
  <si>
    <t>1</t>
  </si>
  <si>
    <t>2</t>
  </si>
  <si>
    <t>3</t>
  </si>
  <si>
    <t>4</t>
  </si>
  <si>
    <t>6</t>
  </si>
  <si>
    <t>7</t>
  </si>
  <si>
    <t>9</t>
  </si>
  <si>
    <t>11</t>
  </si>
  <si>
    <t>12</t>
  </si>
  <si>
    <t>13</t>
  </si>
  <si>
    <t>14</t>
  </si>
  <si>
    <t>15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</si>
  <si>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</si>
  <si>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</si>
  <si>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</si>
  <si>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</si>
  <si>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</si>
  <si>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</si>
  <si>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</si>
  <si>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</si>
  <si>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</si>
  <si>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Uroš Gogala</t>
  </si>
  <si>
    <t>Žiga Meglič</t>
  </si>
  <si>
    <t xml:space="preserve">Blaž Špendov  </t>
  </si>
  <si>
    <t>jan/2020</t>
  </si>
  <si>
    <t>Šemso Durič</t>
  </si>
  <si>
    <t>Kolar Andrej</t>
  </si>
  <si>
    <t>Jože Krulič</t>
  </si>
  <si>
    <t>Mehmed Mušič</t>
  </si>
  <si>
    <t>Mušič Midhad</t>
  </si>
  <si>
    <t>Igor Novakov</t>
  </si>
  <si>
    <t>Zoran Zlatkov</t>
  </si>
  <si>
    <t>Žurman Dejan</t>
  </si>
  <si>
    <t>Sulejman Alibabič</t>
  </si>
  <si>
    <t>Ibrahimi Kushtrim</t>
  </si>
  <si>
    <t>Uroš Knific</t>
  </si>
  <si>
    <t>Vzdrževalci objektov in naprav</t>
  </si>
  <si>
    <t>Jure Podlipnik</t>
  </si>
  <si>
    <t>Robert Žepek</t>
  </si>
  <si>
    <t>29</t>
  </si>
  <si>
    <t>12,22</t>
  </si>
  <si>
    <t>Mušič Edham</t>
  </si>
  <si>
    <t>14, 22</t>
  </si>
  <si>
    <t>delež</t>
  </si>
  <si>
    <t>Janez Kosi</t>
  </si>
  <si>
    <t>Adel Numanovič</t>
  </si>
  <si>
    <t>Lucija Milonik</t>
  </si>
  <si>
    <t>št ur</t>
  </si>
  <si>
    <t>Urška Janežič</t>
  </si>
  <si>
    <t>Operativno vodstvo - izvedbena dela</t>
  </si>
  <si>
    <t>OPERATIVNA IZVEDBA: SKUPAJ:</t>
  </si>
  <si>
    <t>Kamren Hrovat</t>
  </si>
  <si>
    <t>Miha Regovc</t>
  </si>
  <si>
    <t>cena/delež</t>
  </si>
  <si>
    <t>Tovorno vozilo do 15 t sdm</t>
  </si>
  <si>
    <t>Tovorno vozilo do 15 t sdm z avtodvigalom</t>
  </si>
  <si>
    <t>Tovorno vozilo od 15 - 24 t sdm z avtodvigalom</t>
  </si>
  <si>
    <t>Unimog (razreda U300 - U500)</t>
  </si>
  <si>
    <t>Posipalec za tovorna vozila - avtomatski</t>
  </si>
  <si>
    <t>Posipalec traktorski - regulacijski</t>
  </si>
  <si>
    <t>Kosilnica širine 100cm</t>
  </si>
  <si>
    <t xml:space="preserve">Komunalni delavec </t>
  </si>
  <si>
    <t>16</t>
  </si>
  <si>
    <t>17</t>
  </si>
  <si>
    <t>18</t>
  </si>
  <si>
    <t>19</t>
  </si>
  <si>
    <t xml:space="preserve">DONOS  </t>
  </si>
  <si>
    <t>Komunalni delavec</t>
  </si>
  <si>
    <t>Strojnik, Voznik</t>
  </si>
  <si>
    <t>Delovodja, Skupinovodja, Preglednik</t>
  </si>
  <si>
    <t>Operativna  režija</t>
  </si>
  <si>
    <t>OPERATIVNA REŽIJA: SKUPAJ</t>
  </si>
  <si>
    <t>STROŠEK REŽIJE</t>
  </si>
  <si>
    <t>REŽIJA: SKUPAJ</t>
  </si>
  <si>
    <t>Strokovna dela (nadzor, vodenje, pregledi objektov, izdelava poročil, izvedbeni načrti)</t>
  </si>
  <si>
    <t>Tovorno vozilo do 24 t sdm s smetarsko nadgradnjo</t>
  </si>
  <si>
    <t>Snežni plug - tovorno vozilo</t>
  </si>
  <si>
    <t>Snežni plug - traktor</t>
  </si>
  <si>
    <t>Delovodja, Skupinovodja, Preglednik, Dispečer, Voznik, Strojnik</t>
  </si>
  <si>
    <t>Mitja Šulc</t>
  </si>
  <si>
    <r>
      <rPr>
        <b/>
        <sz val="8"/>
        <color theme="1"/>
        <rFont val="Calibri"/>
        <family val="2"/>
        <charset val="238"/>
        <scheme val="minor"/>
      </rPr>
      <t>STROŠEK GORIVA (poraba l/h)</t>
    </r>
    <r>
      <rPr>
        <sz val="8"/>
        <color theme="1"/>
        <rFont val="Calibri"/>
        <family val="2"/>
        <charset val="238"/>
        <scheme val="minor"/>
      </rPr>
      <t xml:space="preserve"> (mesečno)</t>
    </r>
  </si>
  <si>
    <t>CENA (EM: m1)</t>
  </si>
  <si>
    <t>Mapa projektna (kos=</t>
  </si>
  <si>
    <t>UPORABA</t>
  </si>
  <si>
    <t>STROŠEK</t>
  </si>
  <si>
    <t>Povprečna nabavna vrednost</t>
  </si>
  <si>
    <t>Amortirzazacijska doba</t>
  </si>
  <si>
    <t>Količina (TONA)</t>
  </si>
  <si>
    <t>CENA  (TONA)</t>
  </si>
  <si>
    <t>8.1.</t>
  </si>
  <si>
    <r>
      <rPr>
        <b/>
        <sz val="8"/>
        <color theme="1"/>
        <rFont val="Calibri"/>
        <family val="2"/>
        <charset val="238"/>
        <scheme val="minor"/>
      </rPr>
      <t>NABAVNA CENA</t>
    </r>
    <r>
      <rPr>
        <sz val="8"/>
        <color theme="1"/>
        <rFont val="Calibri"/>
        <family val="2"/>
        <charset val="238"/>
        <scheme val="minor"/>
      </rPr>
      <t xml:space="preserve">(ura)  </t>
    </r>
  </si>
  <si>
    <t>Sol refuza</t>
  </si>
  <si>
    <t>Sol vreče</t>
  </si>
  <si>
    <t>Sol silos</t>
  </si>
  <si>
    <t>POVPREČNA CENA (Eur/Tono)</t>
  </si>
  <si>
    <t xml:space="preserve">Količina (kpl) </t>
  </si>
  <si>
    <t>Cena (kpl)</t>
  </si>
  <si>
    <r>
      <rPr>
        <b/>
        <sz val="8"/>
        <color theme="1"/>
        <rFont val="Calibri"/>
        <family val="2"/>
        <charset val="238"/>
        <scheme val="minor"/>
      </rPr>
      <t>Ocena vrednosti priprave stroja</t>
    </r>
    <r>
      <rPr>
        <sz val="8"/>
        <color theme="1"/>
        <rFont val="Calibri"/>
        <family val="2"/>
        <charset val="238"/>
        <scheme val="minor"/>
      </rPr>
      <t xml:space="preserve"> </t>
    </r>
  </si>
  <si>
    <t>Plug</t>
  </si>
  <si>
    <t>Posipalec</t>
  </si>
  <si>
    <t>Traktor</t>
  </si>
  <si>
    <t>Najem zemljišča za deponijo posipnih materialov</t>
  </si>
  <si>
    <t>Najem zemljišča</t>
  </si>
  <si>
    <t>CENA(EM: m1)</t>
  </si>
  <si>
    <t>TRASIRNO ORODJE</t>
  </si>
  <si>
    <t>Ograja in  oznake</t>
  </si>
  <si>
    <t>Profili</t>
  </si>
  <si>
    <t>Zaščita in ureditev gradbišča od 200  do 800 m2  (označitev, zaščita gradbenih jam).</t>
  </si>
  <si>
    <t xml:space="preserve">Zakoličba obstoječih komunalnih vodov do 30 m </t>
  </si>
  <si>
    <t>CENA(EM: m2)</t>
  </si>
  <si>
    <r>
      <rPr>
        <b/>
        <sz val="8"/>
        <color theme="1"/>
        <rFont val="Calibri"/>
        <family val="2"/>
        <charset val="238"/>
        <scheme val="minor"/>
      </rPr>
      <t>STROŠEK GORIVA (poraba/100 km)</t>
    </r>
    <r>
      <rPr>
        <sz val="8"/>
        <color theme="1"/>
        <rFont val="Calibri"/>
        <family val="2"/>
        <charset val="238"/>
        <scheme val="minor"/>
      </rPr>
      <t xml:space="preserve"> (mesečno)</t>
    </r>
  </si>
  <si>
    <r>
      <rPr>
        <b/>
        <sz val="8"/>
        <color theme="1"/>
        <rFont val="Calibri"/>
        <family val="2"/>
        <charset val="238"/>
        <scheme val="minor"/>
      </rPr>
      <t>STROŠEK GORIVA (porabal/100 km)</t>
    </r>
    <r>
      <rPr>
        <sz val="8"/>
        <color theme="1"/>
        <rFont val="Calibri"/>
        <family val="2"/>
        <charset val="238"/>
        <scheme val="minor"/>
      </rPr>
      <t xml:space="preserve"> (mesečno)</t>
    </r>
  </si>
  <si>
    <r>
      <rPr>
        <b/>
        <sz val="8"/>
        <color theme="1"/>
        <rFont val="Calibri"/>
        <family val="2"/>
        <charset val="238"/>
        <scheme val="minor"/>
      </rPr>
      <t>STROŠEK GORIVA (porabal/h)</t>
    </r>
    <r>
      <rPr>
        <sz val="8"/>
        <color theme="1"/>
        <rFont val="Calibri"/>
        <family val="2"/>
        <charset val="238"/>
        <scheme val="minor"/>
      </rPr>
      <t xml:space="preserve"> (mesečno)</t>
    </r>
  </si>
  <si>
    <t>Določitev višin in postavitev gradbenih profilov vzdolžnih objektov na teren v dolžin od 200 do 800 m1</t>
  </si>
  <si>
    <t>Bager 4t</t>
  </si>
  <si>
    <t>Bager 8t</t>
  </si>
  <si>
    <t>Kombinirani izkop in zasip reparaturne gradbene jame do 8 m3 z odlaganjem izkopnega materiala za varnostnim robom izkopa in utrjevanjem</t>
  </si>
  <si>
    <t>Kombinirani izkop in zasip reparaturne gradbene jame do 8 m3 z odvozom odpadnega materiala na stalno deponijo in dovozom potrebnega gradbenega materiala  ter utrjevanjem.</t>
  </si>
  <si>
    <t>0,5</t>
  </si>
  <si>
    <t>KOLIČINA (km/h)</t>
  </si>
  <si>
    <t>CENA: (EM: km)</t>
  </si>
  <si>
    <t>Kombinirano planiranje terena do 800m2 z dovozom potrebnega materiala, odvozom odpadnega materiala in utrjevanjem.</t>
  </si>
  <si>
    <t>Izdelava križanj z obstoječimi komunalnimi in energetskimi vodi.</t>
  </si>
  <si>
    <t>Izdelava obsipa komunalnega in energetskega voda.</t>
  </si>
  <si>
    <t>Vgrandja UK pvc cevi premera do fi 400 in revizijskih jaškov v fekalne in meteorne sisteme z betonskim ali gramoznim obsipom do 20 m.</t>
  </si>
  <si>
    <t>CENA (EM:kpl )</t>
  </si>
  <si>
    <t>Izdelava dvostrankega opaža temeljev do 20 m2.</t>
  </si>
  <si>
    <t>Izdelava dvostrasnskega opaža betonskih sten višine do 2 m skupaj do 20 m2.</t>
  </si>
  <si>
    <t>Vgradnja cestnih in lamelnih robnikov od 5 - 15 m1</t>
  </si>
  <si>
    <t>Zidanje betonskih sten z opažnim betonskim blokom širine od 15 - 30 cm z vgradnjo betona od 5 -15m2</t>
  </si>
  <si>
    <t>Zidanje kamnitih sten v betonu iz naravnega kamanja odstrel 300 v širini do 40 cm od 5-15m2</t>
  </si>
  <si>
    <t>Krivljenj in vezanje enostavnega armaturnega železa do fi 12, do 100 kg</t>
  </si>
  <si>
    <t>Strojna vgradnja črpanega betona v konstrukcijske različnih presekov od 5 - 10m3</t>
  </si>
  <si>
    <r>
      <t>STROJNO ORODJE</t>
    </r>
    <r>
      <rPr>
        <sz val="8"/>
        <color theme="1"/>
        <rFont val="Calibri"/>
        <family val="2"/>
        <charset val="238"/>
        <scheme val="minor"/>
      </rPr>
      <t xml:space="preserve"> (ura</t>
    </r>
    <r>
      <rPr>
        <b/>
        <sz val="8"/>
        <color theme="1"/>
        <rFont val="Calibri"/>
        <family val="2"/>
        <charset val="238"/>
        <scheme val="minor"/>
      </rPr>
      <t>)</t>
    </r>
  </si>
  <si>
    <t>Vibracijska igla za beton</t>
  </si>
  <si>
    <t>Ročna vgradnja enoslojne asfaltne plasti debeline do 4 cm do 15 m2</t>
  </si>
  <si>
    <t>Ročna vgradnja dvoslojne asfaltne plasti debeline do 10 cm do 15 m2</t>
  </si>
  <si>
    <t>Ročna vgradnja enoslojne asfaltne plasti debeline do 4 cm od 31-100 m2</t>
  </si>
  <si>
    <t>Ročna vgradnja dvoslojne asfaltne plasti debeline do 10 cm od 16-30 m2</t>
  </si>
  <si>
    <t>Ročna vgradnja enoslojne asfaltne plasti debeline do 4 cm od 16-30 m2</t>
  </si>
  <si>
    <t>Ročna vgradnja dvoslojne asfaltne plasti debeline do 10 cm od 31-100 m2</t>
  </si>
  <si>
    <r>
      <rPr>
        <b/>
        <sz val="8"/>
        <color theme="1"/>
        <rFont val="Calibri"/>
        <family val="2"/>
        <charset val="238"/>
        <scheme val="minor"/>
      </rPr>
      <t>STROJNO ORODJE</t>
    </r>
    <r>
      <rPr>
        <sz val="8"/>
        <color theme="1"/>
        <rFont val="Calibri"/>
        <family val="2"/>
        <charset val="238"/>
        <scheme val="minor"/>
      </rPr>
      <t xml:space="preserve"> (ura)</t>
    </r>
  </si>
  <si>
    <t>Strojno mulčanje in ročna košnja trave kombinirani teren</t>
  </si>
  <si>
    <t xml:space="preserve">Strojno mulčanje in ročna košnja trave ravninski teren </t>
  </si>
  <si>
    <t>Strojno mulčanje in ročna košnja trave brežine do 30*</t>
  </si>
  <si>
    <t>Strojno mulčanje brežine nad 30*</t>
  </si>
  <si>
    <t>Stojno mulčanje in ročna košnja brežin nad 30*, kolektivni in individualni varnostni ukrepi</t>
  </si>
  <si>
    <t>Bager 4,5 t</t>
  </si>
  <si>
    <t>Sanacija cestnega objekta (kanalsko rešeto, linijsko rešeto, kanalski pokrov) do 0,25 m3 vgrajenega betona (material obračunan po dejanskih količinah).</t>
  </si>
  <si>
    <t>Sanacija cestnega objekta (kanalsko rešeto, linijsko rešeto, kanalski pokrov) do 0,5 m3 vgrajenega betona (material obračunan po dejanskih količinah).</t>
  </si>
  <si>
    <t>Cestni delavci na relaciji izvedbenega plana mesto Jesenice</t>
  </si>
  <si>
    <t>Cestni delavci na relaciji izvedbenega plana krajevne skupnosti</t>
  </si>
  <si>
    <t>OSTALA DELA</t>
  </si>
  <si>
    <t>Zbiranje komunalnih odpadkov mešani komunalni odpad 5m3 zabojnik</t>
  </si>
  <si>
    <t>Obdelava odpadkov - 5m3 zabojnik</t>
  </si>
  <si>
    <t>Odlaganje odpadkov - 5 m3 zabojnik</t>
  </si>
  <si>
    <t>Odlaganje odpadkov - javna infra - 5m3 zabojnik</t>
  </si>
  <si>
    <t xml:space="preserve">Cena </t>
  </si>
  <si>
    <t>Količina  (5m3 zabojnik)</t>
  </si>
  <si>
    <t>Okoljska dajatev - 5m3 zaboj</t>
  </si>
  <si>
    <t>114001</t>
  </si>
  <si>
    <t>114011</t>
  </si>
  <si>
    <t>114061</t>
  </si>
  <si>
    <t>114071</t>
  </si>
  <si>
    <t>114041</t>
  </si>
  <si>
    <t>114051</t>
  </si>
  <si>
    <t>Finančno jamstvo - 5m3 zaboj</t>
  </si>
  <si>
    <t>Odvoz 5m3 zabojnika kosovnih odpadkov Občina Jesenice</t>
  </si>
  <si>
    <t>Odvoz 5m3 zabojnika mešanih komunalnih odpadkov Občina Jesenice</t>
  </si>
  <si>
    <t>Odvoz 5m3 zabojnika mešanih komunalnih odpadkov Občina Žirovnica</t>
  </si>
  <si>
    <t>Odvoz 5m3 zabojnika kosovnih odpadkov Občina Žirovnica</t>
  </si>
  <si>
    <t>114014</t>
  </si>
  <si>
    <t>114064</t>
  </si>
  <si>
    <t>114074</t>
  </si>
  <si>
    <t>114044</t>
  </si>
  <si>
    <t>114054</t>
  </si>
  <si>
    <t>114003</t>
  </si>
  <si>
    <t>114013</t>
  </si>
  <si>
    <t>114063</t>
  </si>
  <si>
    <t>114073</t>
  </si>
  <si>
    <t>114043</t>
  </si>
  <si>
    <t>114053</t>
  </si>
  <si>
    <t>Odvoz 1100 l zabojnika za odpadke Občina Žirovnica</t>
  </si>
  <si>
    <t>Zbiranje komunalnih odpadkov mešani komunalni odpad 1100l zabojnik</t>
  </si>
  <si>
    <t>Obdelava odpadkov - 1100l zabojnik</t>
  </si>
  <si>
    <t>Odlaganje odpadkov - javna infra - 1100l zabojnik</t>
  </si>
  <si>
    <t>Okoljska dajatev - 1100l zabojnik</t>
  </si>
  <si>
    <t>Finančno jamstvo - 1100l zabojnik</t>
  </si>
  <si>
    <t>Količina  (m2)</t>
  </si>
  <si>
    <t>CENA (EM:dan)</t>
  </si>
  <si>
    <t>SKUPAJ (m2):</t>
  </si>
  <si>
    <t>Potrebna površina (m2)</t>
  </si>
  <si>
    <t>Dnevno</t>
  </si>
  <si>
    <t>Najemnina infrastrukture mesečno</t>
  </si>
  <si>
    <t>Manipulacije (mesečn)</t>
  </si>
  <si>
    <t>voz./dan</t>
  </si>
  <si>
    <t>Snemalna naprava za snemanje cevnih sistemov</t>
  </si>
  <si>
    <t>6.21</t>
  </si>
  <si>
    <t>Emulziranje podlage do 15m2</t>
  </si>
  <si>
    <t>Emulziranje podlage od 16-30m2</t>
  </si>
  <si>
    <t>Emulziranje podlage od 31 do 100m2</t>
  </si>
  <si>
    <t>7.8</t>
  </si>
  <si>
    <t>7.9</t>
  </si>
  <si>
    <t>7.10</t>
  </si>
  <si>
    <t>kor</t>
  </si>
  <si>
    <t>5.9</t>
  </si>
  <si>
    <t>Plug planer, nakladalec traktorski</t>
  </si>
  <si>
    <t>3.15</t>
  </si>
  <si>
    <t>Tovorno vozilo do 15 t sdm z nadgradnjo za črpanje greznic</t>
  </si>
  <si>
    <t>6.22</t>
  </si>
  <si>
    <t>Strojno čiščenje  ponikovalnice</t>
  </si>
  <si>
    <t>9.7</t>
  </si>
  <si>
    <t>Ročno čiščenje ponikovalnice (brez stroška odvoza in deponiranja na DMM)</t>
  </si>
  <si>
    <t>komunalni delavec</t>
  </si>
  <si>
    <t>Tovorno vozilo do 3,5  t</t>
  </si>
  <si>
    <t>9.8</t>
  </si>
  <si>
    <t>9.9</t>
  </si>
  <si>
    <t>Strojno čiščenje meteornih mrež</t>
  </si>
  <si>
    <t>Pregled hudournikov skladu z izvedbenim programom rv met. kanalizacije</t>
  </si>
  <si>
    <t>Delo v nedeljo (Kolektivna pogodba komunalnih dejavnosti)</t>
  </si>
  <si>
    <t>Nočno delo (Kolektivna pogodba komunalnih dejavnosti)</t>
  </si>
  <si>
    <t>Delo na praznik in dela proste dneve po zakonu (Kolektivna pogodba komunalnih dejavnosti)</t>
  </si>
  <si>
    <t>100 %</t>
  </si>
  <si>
    <t>2.6</t>
  </si>
  <si>
    <t>2.7</t>
  </si>
  <si>
    <t>2.8</t>
  </si>
  <si>
    <t>Delo preko polnega delovnega časa (Podjetniško kolektivna pogodba)</t>
  </si>
  <si>
    <t>Dodatek za zimske pogoje dela (Podjetniško kolektivna pogodba)</t>
  </si>
  <si>
    <t>Dodatek za težka in umazana dela (Podjetniško kolektivna pogodba)</t>
  </si>
  <si>
    <t>Dodatek za nevarna dela (Podjetniško kolektivna pogodba)</t>
  </si>
  <si>
    <t>6 %</t>
  </si>
  <si>
    <t>10 %</t>
  </si>
  <si>
    <t>Dodatek za posipanje (Podjetniško kolektivan pogodba)</t>
  </si>
  <si>
    <t>Dodatek za zdravju škodljiva dela (Podjetniško kolektivna pogodba)</t>
  </si>
  <si>
    <t>2.9</t>
  </si>
  <si>
    <t>2.10</t>
  </si>
  <si>
    <t>2.11</t>
  </si>
  <si>
    <t>Dodatek za visoke temperature (Podjetniško kolektivna pogodba)</t>
  </si>
  <si>
    <t>Dodatek za pluženje (Podjetniško kolektivna pogodba)</t>
  </si>
  <si>
    <t>Dodatek za ročno čiščenje snega (Podjetniško kolektivna pogodba)</t>
  </si>
  <si>
    <t>2.12</t>
  </si>
  <si>
    <t>Stroškovno mesto</t>
  </si>
  <si>
    <t>23159,25</t>
  </si>
  <si>
    <t>Legat Tomaž</t>
  </si>
  <si>
    <t>Hafizovič Amir</t>
  </si>
  <si>
    <t>Mahmutovič Almedin</t>
  </si>
  <si>
    <t>3.16</t>
  </si>
  <si>
    <t>Tovorno vozilo do 24 t sdm</t>
  </si>
  <si>
    <t>Električni stroj za čiščenje odtočnih cevi Ridgid</t>
  </si>
  <si>
    <t>Vzdrževanje cest</t>
  </si>
  <si>
    <t>Podproces</t>
  </si>
  <si>
    <t>Cena dela</t>
  </si>
  <si>
    <t>Delež obračuna</t>
  </si>
  <si>
    <t>Pov. cena 2021</t>
  </si>
  <si>
    <t>Prihodki iz naslova dela 2021</t>
  </si>
  <si>
    <t>Št. delovnih ur 2021</t>
  </si>
  <si>
    <t>Vzdrževanje zelenih površin</t>
  </si>
  <si>
    <t>Cena dela po predlogu cenika</t>
  </si>
  <si>
    <t>Delež obračuna po predlogu cenika</t>
  </si>
  <si>
    <t>Pov. cena po predlogu cenika</t>
  </si>
  <si>
    <t>Število strojnih ur</t>
  </si>
  <si>
    <t>Pov. cena strojne ure</t>
  </si>
  <si>
    <t>Prihodki iz naslova strojnih del</t>
  </si>
  <si>
    <t>Število strojnih ur po predlogu cenika in projekciji</t>
  </si>
  <si>
    <t xml:space="preserve">Projekcija št. delovnih ur </t>
  </si>
  <si>
    <t xml:space="preserve">Prihodki iz naslova dela po predlogu cenika in projekciji </t>
  </si>
  <si>
    <t>Skupaj:</t>
  </si>
  <si>
    <t>POSLOVANJE 2021</t>
  </si>
  <si>
    <t>Potrebna zagotovitev dodatnih proračunskih sredstev v višini :</t>
  </si>
  <si>
    <t>PROJEKCIJA POSLOVANJA 2022</t>
  </si>
  <si>
    <t>Skupaj podproces javne površine</t>
  </si>
  <si>
    <t>STROŠKI STROKOVNIH SLUŽB (ključ delitve stroškov)</t>
  </si>
  <si>
    <t>SPLOŠNA DOLOČILA</t>
  </si>
  <si>
    <t>IZRAČUN VPLIVA DVIGA CEN NA PRORAČUNSKA SREDSTVA</t>
  </si>
  <si>
    <t>Prihodki iz naslova dela in uporabe stojne opreme</t>
  </si>
  <si>
    <t>4.6</t>
  </si>
  <si>
    <t>Tovorno vozilo s priklopnikom in polpriklopnikom sdm 40 t [jr]</t>
  </si>
  <si>
    <t>Tovorno vozilo U 406 [jr]</t>
  </si>
  <si>
    <t>Traktor 125 ks s tovorno prikolico 11 t sdm [jr]</t>
  </si>
  <si>
    <t>e/km</t>
  </si>
  <si>
    <t>3.19</t>
  </si>
  <si>
    <t>3.20</t>
  </si>
  <si>
    <t>4.7</t>
  </si>
  <si>
    <t>Tovorno vozilo za premik delovnih strojev [jr]</t>
  </si>
  <si>
    <t>Rovokopač 8 t [jr]</t>
  </si>
  <si>
    <t>Bager 1,8 t [jr]</t>
  </si>
  <si>
    <t>4.8</t>
  </si>
  <si>
    <t>Bager 4,5 t [jr]</t>
  </si>
  <si>
    <t>4.9</t>
  </si>
  <si>
    <t>Bager 7,5 t [jr]</t>
  </si>
  <si>
    <t>Bager 24 t [jr]</t>
  </si>
  <si>
    <t>Bager 26 t [jr]</t>
  </si>
  <si>
    <t>4.11</t>
  </si>
  <si>
    <t>Valjar 1 t [jr]</t>
  </si>
  <si>
    <t>4.13</t>
  </si>
  <si>
    <t>4.15</t>
  </si>
  <si>
    <t>Valjar 3,5 t [jr]</t>
  </si>
  <si>
    <t>Valjar zemljski [jr]</t>
  </si>
  <si>
    <t>Udarno kladivo za bager 4,5 [jr]</t>
  </si>
  <si>
    <t>Udarno kladivo za bager 8 t [jr]</t>
  </si>
  <si>
    <t>5.10</t>
  </si>
  <si>
    <t>Snežni rezkar U 500 [jr]</t>
  </si>
  <si>
    <t>6.23</t>
  </si>
  <si>
    <t>Svetlobni stolp [jr]</t>
  </si>
  <si>
    <t>Gradbeni kompresor [jr]</t>
  </si>
  <si>
    <t>6.24</t>
  </si>
  <si>
    <t>Rezalka za asfalt [jr]</t>
  </si>
  <si>
    <t>Vpliv dviga cen storitev in plač</t>
  </si>
  <si>
    <t>Traktor [do 50kW]</t>
  </si>
  <si>
    <t>Traktor [ 50 - 70 kW]</t>
  </si>
  <si>
    <t>Traktor [ 70 kW - 90 kW]</t>
  </si>
  <si>
    <t>Traktor [nad 90 kW]</t>
  </si>
  <si>
    <t>3.21</t>
  </si>
  <si>
    <t>6.25</t>
  </si>
  <si>
    <t>Nakladalec mali (razred bob cat 553, 7753) [jr]</t>
  </si>
  <si>
    <t>5. Cene ne vsebujejo ddv.</t>
  </si>
  <si>
    <t>1. Cenik režijskih urnih postavk</t>
  </si>
  <si>
    <t>2. Cene vozil in delovnih strojev vsebujejo ceno dela.</t>
  </si>
  <si>
    <t>3. Cene priključkov tovornih vozil in traktorjev ter strojnega orodja ne vsebujejo cene dela.</t>
  </si>
  <si>
    <t>JEKO, javno komunalno podjetje, d.o.o., Jesenice</t>
  </si>
  <si>
    <t>Direktor:</t>
  </si>
  <si>
    <t>REŽIJSKIH URNIH POSTAVK</t>
  </si>
  <si>
    <t>Uroš Bučar, univ. dipl. ekon.</t>
  </si>
  <si>
    <t>Električno udarno kladivo kobra</t>
  </si>
  <si>
    <t>VODOVOD</t>
  </si>
  <si>
    <t>PO OPISIH V POSTAVKAH</t>
  </si>
  <si>
    <t>Interventna odprava okvare zaradi poškodovanja vodovoda - delavec vzdrževalec omrežja</t>
  </si>
  <si>
    <t>KOMUNALA - VODOVOD</t>
  </si>
  <si>
    <t>NORMATIVNO DELO</t>
  </si>
  <si>
    <t>Delovodja izven RDČ</t>
  </si>
  <si>
    <t>Tovorno vozilo do 15 t sdm z nadgradnjo za črpanje greznic izven RDČ</t>
  </si>
  <si>
    <t>Delovodja intervencija</t>
  </si>
  <si>
    <t>NORMATIVNO VOZILA</t>
  </si>
  <si>
    <t>Tovorno vozilo do 15 t sdm z nadgradnjo za črpanje greznic intervencija</t>
  </si>
  <si>
    <t>Tovorno vozilo kanaljet izven RDČ</t>
  </si>
  <si>
    <t>Tovorno vozilo kanaljet intervencija</t>
  </si>
  <si>
    <t>Komunalni delavec izven RDČ</t>
  </si>
  <si>
    <t>Komunalni delavec - intervencija</t>
  </si>
  <si>
    <t>NORMATIVNO DELOVNI STROJI</t>
  </si>
  <si>
    <t>6.26</t>
  </si>
  <si>
    <t>Visokotlačno čiščenje do fi 160</t>
  </si>
  <si>
    <t>Visokotlačni čistilec do fi 160</t>
  </si>
  <si>
    <t xml:space="preserve">TRŽNI CENIK </t>
  </si>
  <si>
    <t>Visokotlačno čiščenje do fi 160 izven RDČ</t>
  </si>
  <si>
    <t>KOMUNALNA DELA</t>
  </si>
  <si>
    <t>Visokotlačno čiščenje do fi 160 intervencija</t>
  </si>
  <si>
    <t>Traktor s prikolico</t>
  </si>
  <si>
    <t>Traktor s čelnim nakladačem</t>
  </si>
  <si>
    <t>3.22</t>
  </si>
  <si>
    <t>Osebno vozilo kilometrina</t>
  </si>
  <si>
    <t>Tovorno vozilo kilometrina</t>
  </si>
  <si>
    <t>1.5</t>
  </si>
  <si>
    <t>Izdelava pooročila o pregledu brez posnetka</t>
  </si>
  <si>
    <t>1.6</t>
  </si>
  <si>
    <t>Izdelava CD s posnetkom stanja</t>
  </si>
  <si>
    <t>KOMUNALA - ODVAJANJE IN ČIŠČENJE</t>
  </si>
  <si>
    <t>4. Noramtivne cene so sestavljene cene delovne ekipe.</t>
  </si>
  <si>
    <t>dvig 6 %</t>
  </si>
  <si>
    <t>Marolt Jože</t>
  </si>
  <si>
    <t>Primož Kralj</t>
  </si>
  <si>
    <t>3.1.1</t>
  </si>
  <si>
    <t>Visokotlačni čistilec na tovornem vozilu do 3,5 sdm</t>
  </si>
  <si>
    <t>3.14.1</t>
  </si>
  <si>
    <t>Najemnina za gradbiščni semafor</t>
  </si>
  <si>
    <t>VII/09-230-01T/3-2025</t>
  </si>
  <si>
    <t>Cenik velja od 1.6.2025 dalje.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</si>
</sst>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.0000"/>
    <numFmt numFmtId="166" formatCode="#,##0.000\ &quot;€&quot;"/>
  </numFmts>
  <fonts count="4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ourier New"/>
      <family val="3"/>
      <charset val="238"/>
    </font>
    <font>
      <sz val="11"/>
      <color rgb="FF000000"/>
      <name val="Courier New"/>
      <family val="3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b/>
      <u/>
      <sz val="14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 CE"/>
      <charset val="238"/>
    </font>
    <font>
      <b/>
      <sz val="8"/>
      <color theme="1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u/>
      <sz val="8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u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8"/>
      <color theme="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u/>
      <sz val="8"/>
      <color theme="1"/>
      <name val="Arial"/>
      <family val="2"/>
      <charset val="238"/>
    </font>
    <font>
      <b/>
      <u/>
      <sz val="11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92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7" fillId="0" borderId="0" xfId="0" applyFont="1"/>
    <xf numFmtId="0" fontId="8" fillId="2" borderId="1" xfId="0" applyFont="1" applyFill="1" applyBorder="1"/>
    <xf numFmtId="0" fontId="9" fillId="0" borderId="2" xfId="0" applyFont="1" applyBorder="1"/>
    <xf numFmtId="0" fontId="10" fillId="0" borderId="0" xfId="0" applyFont="1"/>
    <xf numFmtId="14" fontId="9" fillId="0" borderId="0" xfId="0" applyNumberFormat="1" applyFont="1"/>
    <xf numFmtId="0" fontId="8" fillId="0" borderId="0" xfId="0" applyFont="1"/>
    <xf numFmtId="0" fontId="9" fillId="0" borderId="0" xfId="0" applyFont="1"/>
    <xf numFmtId="0" fontId="9" fillId="2" borderId="5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49" fontId="0" fillId="0" borderId="24" xfId="0" applyNumberForma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2" fontId="13" fillId="3" borderId="43" xfId="0" applyNumberFormat="1" applyFont="1" applyFill="1" applyBorder="1" applyAlignment="1">
      <alignment horizontal="center"/>
    </xf>
    <xf numFmtId="2" fontId="13" fillId="4" borderId="9" xfId="0" applyNumberFormat="1" applyFont="1" applyFill="1" applyBorder="1" applyAlignment="1">
      <alignment horizontal="center"/>
    </xf>
    <xf numFmtId="164" fontId="13" fillId="4" borderId="9" xfId="0" applyNumberFormat="1" applyFont="1" applyFill="1" applyBorder="1" applyAlignment="1">
      <alignment horizontal="center"/>
    </xf>
    <xf numFmtId="164" fontId="12" fillId="4" borderId="34" xfId="0" applyNumberFormat="1" applyFont="1" applyFill="1" applyBorder="1" applyAlignment="1">
      <alignment horizontal="center" vertical="center"/>
    </xf>
    <xf numFmtId="164" fontId="12" fillId="4" borderId="35" xfId="0" applyNumberFormat="1" applyFont="1" applyFill="1" applyBorder="1" applyAlignment="1">
      <alignment horizontal="center" vertical="center"/>
    </xf>
    <xf numFmtId="2" fontId="13" fillId="4" borderId="20" xfId="0" applyNumberFormat="1" applyFont="1" applyFill="1" applyBorder="1" applyAlignment="1">
      <alignment horizontal="center"/>
    </xf>
    <xf numFmtId="2" fontId="13" fillId="4" borderId="19" xfId="0" applyNumberFormat="1" applyFont="1" applyFill="1" applyBorder="1" applyAlignment="1">
      <alignment horizontal="center"/>
    </xf>
    <xf numFmtId="164" fontId="12" fillId="4" borderId="36" xfId="0" applyNumberFormat="1" applyFont="1" applyFill="1" applyBorder="1" applyAlignment="1">
      <alignment horizontal="center" vertical="center"/>
    </xf>
    <xf numFmtId="164" fontId="0" fillId="0" borderId="9" xfId="0" applyNumberFormat="1" applyBorder="1" applyAlignment="1">
      <alignment horizontal="center"/>
    </xf>
    <xf numFmtId="0" fontId="10" fillId="0" borderId="0" xfId="0" applyFont="1" applyAlignment="1">
      <alignment horizontal="left"/>
    </xf>
    <xf numFmtId="164" fontId="0" fillId="0" borderId="20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6" fillId="0" borderId="0" xfId="0" applyFont="1" applyAlignment="1">
      <alignment horizontal="center"/>
    </xf>
    <xf numFmtId="0" fontId="1" fillId="3" borderId="28" xfId="0" applyFont="1" applyFill="1" applyBorder="1" applyAlignment="1">
      <alignment horizontal="center"/>
    </xf>
    <xf numFmtId="164" fontId="19" fillId="3" borderId="28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0" fontId="11" fillId="5" borderId="51" xfId="0" applyFont="1" applyFill="1" applyBorder="1" applyAlignment="1">
      <alignment horizontal="center" vertical="top" wrapText="1"/>
    </xf>
    <xf numFmtId="0" fontId="11" fillId="5" borderId="51" xfId="0" applyFont="1" applyFill="1" applyBorder="1" applyAlignment="1">
      <alignment horizontal="center" vertical="top"/>
    </xf>
    <xf numFmtId="0" fontId="11" fillId="5" borderId="5" xfId="0" applyFont="1" applyFill="1" applyBorder="1" applyAlignment="1">
      <alignment horizontal="center" vertical="top" wrapText="1"/>
    </xf>
    <xf numFmtId="0" fontId="11" fillId="5" borderId="5" xfId="0" applyFont="1" applyFill="1" applyBorder="1" applyAlignment="1">
      <alignment horizontal="center" vertical="top"/>
    </xf>
    <xf numFmtId="164" fontId="17" fillId="5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4" fontId="13" fillId="4" borderId="20" xfId="0" applyNumberFormat="1" applyFont="1" applyFill="1" applyBorder="1" applyAlignment="1">
      <alignment horizontal="center"/>
    </xf>
    <xf numFmtId="164" fontId="0" fillId="0" borderId="0" xfId="0" applyNumberFormat="1"/>
    <xf numFmtId="49" fontId="11" fillId="4" borderId="32" xfId="0" applyNumberFormat="1" applyFont="1" applyFill="1" applyBorder="1" applyAlignment="1">
      <alignment horizontal="center"/>
    </xf>
    <xf numFmtId="49" fontId="11" fillId="4" borderId="13" xfId="0" applyNumberFormat="1" applyFont="1" applyFill="1" applyBorder="1" applyAlignment="1">
      <alignment horizontal="center"/>
    </xf>
    <xf numFmtId="164" fontId="1" fillId="3" borderId="55" xfId="0" applyNumberFormat="1" applyFont="1" applyFill="1" applyBorder="1" applyAlignment="1">
      <alignment horizontal="center"/>
    </xf>
    <xf numFmtId="0" fontId="0" fillId="0" borderId="56" xfId="0" applyBorder="1"/>
    <xf numFmtId="49" fontId="11" fillId="4" borderId="3" xfId="0" applyNumberFormat="1" applyFont="1" applyFill="1" applyBorder="1" applyAlignment="1">
      <alignment horizontal="center"/>
    </xf>
    <xf numFmtId="49" fontId="11" fillId="4" borderId="8" xfId="0" applyNumberFormat="1" applyFont="1" applyFill="1" applyBorder="1" applyAlignment="1">
      <alignment horizontal="center"/>
    </xf>
    <xf numFmtId="164" fontId="13" fillId="3" borderId="44" xfId="0" applyNumberFormat="1" applyFont="1" applyFill="1" applyBorder="1" applyAlignment="1">
      <alignment horizontal="center"/>
    </xf>
    <xf numFmtId="0" fontId="18" fillId="5" borderId="5" xfId="0" applyFont="1" applyFill="1" applyBorder="1" applyAlignment="1">
      <alignment horizontal="center" vertical="top" wrapText="1"/>
    </xf>
    <xf numFmtId="0" fontId="23" fillId="0" borderId="0" xfId="0" applyFont="1" applyAlignment="1">
      <alignment horizontal="left" wrapText="1"/>
    </xf>
    <xf numFmtId="0" fontId="18" fillId="5" borderId="51" xfId="0" applyFont="1" applyFill="1" applyBorder="1" applyAlignment="1">
      <alignment horizontal="center" vertical="top" wrapText="1"/>
    </xf>
    <xf numFmtId="2" fontId="13" fillId="6" borderId="9" xfId="0" applyNumberFormat="1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 vertical="top" wrapText="1"/>
    </xf>
    <xf numFmtId="2" fontId="12" fillId="6" borderId="33" xfId="0" applyNumberFormat="1" applyFont="1" applyFill="1" applyBorder="1" applyAlignment="1">
      <alignment horizontal="right" vertical="center"/>
    </xf>
    <xf numFmtId="0" fontId="23" fillId="3" borderId="9" xfId="0" applyFont="1" applyFill="1" applyBorder="1" applyAlignment="1">
      <alignment horizontal="left" wrapText="1"/>
    </xf>
    <xf numFmtId="0" fontId="23" fillId="3" borderId="33" xfId="0" applyFont="1" applyFill="1" applyBorder="1" applyAlignment="1">
      <alignment horizontal="left" wrapText="1"/>
    </xf>
    <xf numFmtId="0" fontId="0" fillId="0" borderId="46" xfId="0" applyBorder="1"/>
    <xf numFmtId="0" fontId="0" fillId="0" borderId="0" xfId="0" applyAlignment="1">
      <alignment horizontal="left" wrapText="1"/>
    </xf>
    <xf numFmtId="0" fontId="0" fillId="3" borderId="20" xfId="0" applyFill="1" applyBorder="1" applyAlignment="1">
      <alignment horizontal="left" wrapText="1"/>
    </xf>
    <xf numFmtId="0" fontId="0" fillId="3" borderId="34" xfId="0" applyFill="1" applyBorder="1" applyAlignment="1">
      <alignment horizontal="left" wrapText="1"/>
    </xf>
    <xf numFmtId="164" fontId="12" fillId="4" borderId="60" xfId="0" applyNumberFormat="1" applyFont="1" applyFill="1" applyBorder="1" applyAlignment="1">
      <alignment horizontal="center" vertical="center"/>
    </xf>
    <xf numFmtId="164" fontId="13" fillId="4" borderId="20" xfId="0" applyNumberFormat="1" applyFont="1" applyFill="1" applyBorder="1" applyAlignment="1">
      <alignment horizontal="center" wrapText="1"/>
    </xf>
    <xf numFmtId="164" fontId="13" fillId="4" borderId="31" xfId="0" applyNumberFormat="1" applyFont="1" applyFill="1" applyBorder="1" applyAlignment="1">
      <alignment horizontal="center" wrapText="1"/>
    </xf>
    <xf numFmtId="0" fontId="0" fillId="3" borderId="61" xfId="0" applyFill="1" applyBorder="1" applyAlignment="1">
      <alignment horizontal="left" wrapText="1"/>
    </xf>
    <xf numFmtId="0" fontId="0" fillId="3" borderId="62" xfId="0" applyFill="1" applyBorder="1" applyAlignment="1">
      <alignment horizontal="left" wrapText="1"/>
    </xf>
    <xf numFmtId="49" fontId="11" fillId="4" borderId="53" xfId="0" applyNumberFormat="1" applyFont="1" applyFill="1" applyBorder="1" applyAlignment="1">
      <alignment horizontal="center"/>
    </xf>
    <xf numFmtId="49" fontId="11" fillId="4" borderId="30" xfId="0" applyNumberFormat="1" applyFont="1" applyFill="1" applyBorder="1" applyAlignment="1">
      <alignment horizontal="center"/>
    </xf>
    <xf numFmtId="0" fontId="22" fillId="4" borderId="29" xfId="0" applyFont="1" applyFill="1" applyBorder="1" applyAlignment="1">
      <alignment horizontal="right" vertical="top" wrapText="1"/>
    </xf>
    <xf numFmtId="0" fontId="21" fillId="4" borderId="30" xfId="0" applyFont="1" applyFill="1" applyBorder="1" applyAlignment="1">
      <alignment horizontal="right" vertical="top" wrapText="1"/>
    </xf>
    <xf numFmtId="2" fontId="13" fillId="4" borderId="31" xfId="0" applyNumberFormat="1" applyFont="1" applyFill="1" applyBorder="1" applyAlignment="1">
      <alignment horizontal="center"/>
    </xf>
    <xf numFmtId="164" fontId="12" fillId="4" borderId="52" xfId="0" applyNumberFormat="1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wrapText="1"/>
    </xf>
    <xf numFmtId="2" fontId="13" fillId="0" borderId="20" xfId="0" applyNumberFormat="1" applyFont="1" applyBorder="1" applyAlignment="1">
      <alignment horizontal="center" wrapText="1"/>
    </xf>
    <xf numFmtId="164" fontId="13" fillId="0" borderId="20" xfId="0" applyNumberFormat="1" applyFont="1" applyBorder="1" applyAlignment="1">
      <alignment horizontal="center" wrapText="1"/>
    </xf>
    <xf numFmtId="164" fontId="13" fillId="0" borderId="34" xfId="0" applyNumberFormat="1" applyFont="1" applyBorder="1" applyAlignment="1">
      <alignment horizontal="center" wrapText="1"/>
    </xf>
    <xf numFmtId="0" fontId="22" fillId="0" borderId="7" xfId="0" applyFont="1" applyBorder="1" applyAlignment="1">
      <alignment horizontal="right" wrapText="1"/>
    </xf>
    <xf numFmtId="0" fontId="22" fillId="0" borderId="8" xfId="0" applyFont="1" applyBorder="1" applyAlignment="1">
      <alignment horizontal="right" wrapText="1"/>
    </xf>
    <xf numFmtId="2" fontId="13" fillId="0" borderId="9" xfId="0" applyNumberFormat="1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165" fontId="13" fillId="4" borderId="9" xfId="0" applyNumberFormat="1" applyFont="1" applyFill="1" applyBorder="1" applyAlignment="1">
      <alignment horizontal="center"/>
    </xf>
    <xf numFmtId="164" fontId="13" fillId="0" borderId="25" xfId="0" applyNumberFormat="1" applyFont="1" applyBorder="1" applyAlignment="1">
      <alignment horizontal="center" wrapText="1"/>
    </xf>
    <xf numFmtId="0" fontId="13" fillId="0" borderId="19" xfId="0" applyFont="1" applyBorder="1" applyAlignment="1">
      <alignment horizontal="center" wrapText="1"/>
    </xf>
    <xf numFmtId="164" fontId="13" fillId="0" borderId="59" xfId="0" applyNumberFormat="1" applyFont="1" applyBorder="1" applyAlignment="1">
      <alignment horizontal="center" wrapText="1"/>
    </xf>
    <xf numFmtId="164" fontId="13" fillId="0" borderId="7" xfId="0" applyNumberFormat="1" applyFont="1" applyBorder="1" applyAlignment="1">
      <alignment horizontal="center" wrapText="1"/>
    </xf>
    <xf numFmtId="164" fontId="13" fillId="0" borderId="60" xfId="0" applyNumberFormat="1" applyFont="1" applyBorder="1" applyAlignment="1">
      <alignment horizontal="center" wrapText="1"/>
    </xf>
    <xf numFmtId="0" fontId="25" fillId="0" borderId="0" xfId="0" applyFont="1"/>
    <xf numFmtId="0" fontId="26" fillId="4" borderId="0" xfId="0" applyFont="1" applyFill="1"/>
    <xf numFmtId="0" fontId="27" fillId="5" borderId="5" xfId="0" applyFont="1" applyFill="1" applyBorder="1" applyAlignment="1">
      <alignment horizontal="center" vertical="top" wrapText="1"/>
    </xf>
    <xf numFmtId="0" fontId="27" fillId="5" borderId="5" xfId="0" applyFont="1" applyFill="1" applyBorder="1" applyAlignment="1">
      <alignment horizontal="center" vertical="top"/>
    </xf>
    <xf numFmtId="0" fontId="27" fillId="5" borderId="11" xfId="0" applyFont="1" applyFill="1" applyBorder="1" applyAlignment="1">
      <alignment horizontal="center" vertical="top" wrapText="1"/>
    </xf>
    <xf numFmtId="0" fontId="27" fillId="5" borderId="62" xfId="0" applyFont="1" applyFill="1" applyBorder="1" applyAlignment="1">
      <alignment horizontal="center" vertical="top"/>
    </xf>
    <xf numFmtId="49" fontId="27" fillId="4" borderId="32" xfId="0" applyNumberFormat="1" applyFont="1" applyFill="1" applyBorder="1" applyAlignment="1">
      <alignment horizontal="center"/>
    </xf>
    <xf numFmtId="49" fontId="27" fillId="4" borderId="13" xfId="0" applyNumberFormat="1" applyFont="1" applyFill="1" applyBorder="1" applyAlignment="1">
      <alignment horizontal="center"/>
    </xf>
    <xf numFmtId="164" fontId="29" fillId="4" borderId="9" xfId="0" applyNumberFormat="1" applyFont="1" applyFill="1" applyBorder="1" applyAlignment="1">
      <alignment horizontal="center"/>
    </xf>
    <xf numFmtId="164" fontId="30" fillId="4" borderId="34" xfId="0" applyNumberFormat="1" applyFont="1" applyFill="1" applyBorder="1" applyAlignment="1">
      <alignment horizontal="center" vertical="center"/>
    </xf>
    <xf numFmtId="164" fontId="29" fillId="4" borderId="20" xfId="0" applyNumberFormat="1" applyFont="1" applyFill="1" applyBorder="1" applyAlignment="1">
      <alignment horizontal="center"/>
    </xf>
    <xf numFmtId="164" fontId="30" fillId="4" borderId="36" xfId="0" applyNumberFormat="1" applyFont="1" applyFill="1" applyBorder="1" applyAlignment="1">
      <alignment horizontal="center" vertical="center"/>
    </xf>
    <xf numFmtId="2" fontId="29" fillId="4" borderId="20" xfId="0" applyNumberFormat="1" applyFont="1" applyFill="1" applyBorder="1" applyAlignment="1">
      <alignment horizontal="center"/>
    </xf>
    <xf numFmtId="2" fontId="29" fillId="4" borderId="21" xfId="0" applyNumberFormat="1" applyFont="1" applyFill="1" applyBorder="1" applyAlignment="1">
      <alignment horizontal="center"/>
    </xf>
    <xf numFmtId="164" fontId="29" fillId="4" borderId="21" xfId="0" applyNumberFormat="1" applyFont="1" applyFill="1" applyBorder="1" applyAlignment="1">
      <alignment horizontal="center"/>
    </xf>
    <xf numFmtId="164" fontId="30" fillId="4" borderId="35" xfId="0" applyNumberFormat="1" applyFont="1" applyFill="1" applyBorder="1" applyAlignment="1">
      <alignment horizontal="center" vertical="center"/>
    </xf>
    <xf numFmtId="2" fontId="29" fillId="4" borderId="9" xfId="0" applyNumberFormat="1" applyFont="1" applyFill="1" applyBorder="1" applyAlignment="1">
      <alignment horizontal="center"/>
    </xf>
    <xf numFmtId="164" fontId="33" fillId="4" borderId="9" xfId="0" applyNumberFormat="1" applyFont="1" applyFill="1" applyBorder="1" applyAlignment="1">
      <alignment horizontal="center"/>
    </xf>
    <xf numFmtId="164" fontId="30" fillId="4" borderId="33" xfId="0" applyNumberFormat="1" applyFont="1" applyFill="1" applyBorder="1" applyAlignment="1">
      <alignment horizontal="center" vertical="center"/>
    </xf>
    <xf numFmtId="164" fontId="33" fillId="4" borderId="34" xfId="0" applyNumberFormat="1" applyFont="1" applyFill="1" applyBorder="1" applyAlignment="1">
      <alignment horizontal="center" vertical="center"/>
    </xf>
    <xf numFmtId="164" fontId="32" fillId="4" borderId="20" xfId="0" applyNumberFormat="1" applyFont="1" applyFill="1" applyBorder="1" applyAlignment="1">
      <alignment horizontal="center"/>
    </xf>
    <xf numFmtId="164" fontId="33" fillId="4" borderId="34" xfId="0" applyNumberFormat="1" applyFont="1" applyFill="1" applyBorder="1" applyAlignment="1">
      <alignment horizontal="center"/>
    </xf>
    <xf numFmtId="2" fontId="29" fillId="4" borderId="31" xfId="0" applyNumberFormat="1" applyFont="1" applyFill="1" applyBorder="1" applyAlignment="1">
      <alignment horizontal="center"/>
    </xf>
    <xf numFmtId="164" fontId="32" fillId="4" borderId="31" xfId="0" applyNumberFormat="1" applyFont="1" applyFill="1" applyBorder="1" applyAlignment="1">
      <alignment horizontal="center"/>
    </xf>
    <xf numFmtId="164" fontId="33" fillId="4" borderId="64" xfId="0" applyNumberFormat="1" applyFont="1" applyFill="1" applyBorder="1" applyAlignment="1">
      <alignment horizontal="center" vertical="center"/>
    </xf>
    <xf numFmtId="2" fontId="29" fillId="3" borderId="43" xfId="0" applyNumberFormat="1" applyFont="1" applyFill="1" applyBorder="1" applyAlignment="1">
      <alignment horizontal="center"/>
    </xf>
    <xf numFmtId="164" fontId="29" fillId="3" borderId="44" xfId="0" applyNumberFormat="1" applyFont="1" applyFill="1" applyBorder="1" applyAlignment="1">
      <alignment horizontal="center"/>
    </xf>
    <xf numFmtId="164" fontId="35" fillId="5" borderId="5" xfId="0" applyNumberFormat="1" applyFont="1" applyFill="1" applyBorder="1" applyAlignment="1">
      <alignment horizontal="center" vertical="center"/>
    </xf>
    <xf numFmtId="49" fontId="31" fillId="4" borderId="0" xfId="0" applyNumberFormat="1" applyFont="1" applyFill="1" applyAlignment="1">
      <alignment horizontal="center"/>
    </xf>
    <xf numFmtId="0" fontId="34" fillId="4" borderId="0" xfId="0" applyFont="1" applyFill="1" applyAlignment="1">
      <alignment horizontal="right"/>
    </xf>
    <xf numFmtId="2" fontId="29" fillId="4" borderId="0" xfId="0" applyNumberFormat="1" applyFont="1" applyFill="1" applyAlignment="1">
      <alignment horizontal="center"/>
    </xf>
    <xf numFmtId="164" fontId="29" fillId="4" borderId="0" xfId="0" applyNumberFormat="1" applyFont="1" applyFill="1" applyAlignment="1">
      <alignment horizontal="center"/>
    </xf>
    <xf numFmtId="164" fontId="35" fillId="4" borderId="0" xfId="0" applyNumberFormat="1" applyFont="1" applyFill="1" applyAlignment="1">
      <alignment horizontal="center" vertical="center"/>
    </xf>
    <xf numFmtId="164" fontId="29" fillId="4" borderId="31" xfId="0" applyNumberFormat="1" applyFont="1" applyFill="1" applyBorder="1" applyAlignment="1">
      <alignment horizontal="center"/>
    </xf>
    <xf numFmtId="164" fontId="29" fillId="3" borderId="43" xfId="0" applyNumberFormat="1" applyFont="1" applyFill="1" applyBorder="1" applyAlignment="1">
      <alignment horizontal="center"/>
    </xf>
    <xf numFmtId="0" fontId="27" fillId="5" borderId="13" xfId="0" applyFont="1" applyFill="1" applyBorder="1" applyAlignment="1">
      <alignment horizontal="center" vertical="top" wrapText="1"/>
    </xf>
    <xf numFmtId="0" fontId="27" fillId="5" borderId="9" xfId="0" applyFont="1" applyFill="1" applyBorder="1" applyAlignment="1">
      <alignment horizontal="center" vertical="top" wrapText="1"/>
    </xf>
    <xf numFmtId="0" fontId="27" fillId="5" borderId="9" xfId="0" applyFont="1" applyFill="1" applyBorder="1" applyAlignment="1">
      <alignment horizontal="center" vertical="top"/>
    </xf>
    <xf numFmtId="49" fontId="27" fillId="4" borderId="3" xfId="0" applyNumberFormat="1" applyFont="1" applyFill="1" applyBorder="1" applyAlignment="1">
      <alignment horizontal="center"/>
    </xf>
    <xf numFmtId="49" fontId="27" fillId="4" borderId="8" xfId="0" applyNumberFormat="1" applyFont="1" applyFill="1" applyBorder="1" applyAlignment="1">
      <alignment horizontal="center"/>
    </xf>
    <xf numFmtId="0" fontId="25" fillId="0" borderId="56" xfId="0" applyFont="1" applyBorder="1"/>
    <xf numFmtId="0" fontId="26" fillId="3" borderId="28" xfId="0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 vertical="top" wrapText="1"/>
    </xf>
    <xf numFmtId="164" fontId="27" fillId="5" borderId="61" xfId="0" applyNumberFormat="1" applyFont="1" applyFill="1" applyBorder="1"/>
    <xf numFmtId="0" fontId="27" fillId="5" borderId="61" xfId="0" applyFont="1" applyFill="1" applyBorder="1"/>
    <xf numFmtId="0" fontId="27" fillId="5" borderId="62" xfId="0" applyFont="1" applyFill="1" applyBorder="1"/>
    <xf numFmtId="2" fontId="27" fillId="4" borderId="18" xfId="0" applyNumberFormat="1" applyFont="1" applyFill="1" applyBorder="1"/>
    <xf numFmtId="0" fontId="27" fillId="4" borderId="9" xfId="0" applyFont="1" applyFill="1" applyBorder="1"/>
    <xf numFmtId="0" fontId="27" fillId="4" borderId="33" xfId="0" applyFont="1" applyFill="1" applyBorder="1"/>
    <xf numFmtId="0" fontId="27" fillId="4" borderId="18" xfId="0" applyFont="1" applyFill="1" applyBorder="1" applyAlignment="1">
      <alignment horizontal="center"/>
    </xf>
    <xf numFmtId="2" fontId="27" fillId="4" borderId="18" xfId="0" applyNumberFormat="1" applyFont="1" applyFill="1" applyBorder="1" applyAlignment="1">
      <alignment horizontal="center"/>
    </xf>
    <xf numFmtId="164" fontId="27" fillId="4" borderId="18" xfId="0" applyNumberFormat="1" applyFont="1" applyFill="1" applyBorder="1" applyAlignment="1">
      <alignment horizontal="center"/>
    </xf>
    <xf numFmtId="164" fontId="35" fillId="4" borderId="33" xfId="0" applyNumberFormat="1" applyFont="1" applyFill="1" applyBorder="1" applyAlignment="1">
      <alignment horizontal="center" vertical="center"/>
    </xf>
    <xf numFmtId="2" fontId="27" fillId="4" borderId="25" xfId="0" applyNumberFormat="1" applyFont="1" applyFill="1" applyBorder="1" applyAlignment="1">
      <alignment horizontal="center"/>
    </xf>
    <xf numFmtId="2" fontId="29" fillId="4" borderId="19" xfId="0" applyNumberFormat="1" applyFont="1" applyFill="1" applyBorder="1" applyAlignment="1">
      <alignment horizontal="center"/>
    </xf>
    <xf numFmtId="2" fontId="29" fillId="4" borderId="40" xfId="0" applyNumberFormat="1" applyFont="1" applyFill="1" applyBorder="1" applyAlignment="1">
      <alignment horizontal="center"/>
    </xf>
    <xf numFmtId="0" fontId="27" fillId="3" borderId="42" xfId="0" applyFont="1" applyFill="1" applyBorder="1" applyAlignment="1">
      <alignment horizontal="center"/>
    </xf>
    <xf numFmtId="2" fontId="29" fillId="3" borderId="44" xfId="0" applyNumberFormat="1" applyFont="1" applyFill="1" applyBorder="1" applyAlignment="1">
      <alignment horizontal="center"/>
    </xf>
    <xf numFmtId="0" fontId="27" fillId="4" borderId="0" xfId="0" applyFont="1" applyFill="1" applyAlignment="1">
      <alignment horizontal="center"/>
    </xf>
    <xf numFmtId="0" fontId="27" fillId="5" borderId="9" xfId="0" applyFont="1" applyFill="1" applyBorder="1"/>
    <xf numFmtId="4" fontId="30" fillId="4" borderId="33" xfId="0" applyNumberFormat="1" applyFont="1" applyFill="1" applyBorder="1" applyAlignment="1">
      <alignment horizontal="right" vertical="center"/>
    </xf>
    <xf numFmtId="164" fontId="12" fillId="4" borderId="33" xfId="0" applyNumberFormat="1" applyFont="1" applyFill="1" applyBorder="1" applyAlignment="1">
      <alignment horizontal="center" vertical="center"/>
    </xf>
    <xf numFmtId="0" fontId="25" fillId="0" borderId="20" xfId="0" applyFont="1" applyBorder="1"/>
    <xf numFmtId="2" fontId="27" fillId="4" borderId="20" xfId="0" applyNumberFormat="1" applyFont="1" applyFill="1" applyBorder="1"/>
    <xf numFmtId="0" fontId="27" fillId="4" borderId="20" xfId="0" applyFont="1" applyFill="1" applyBorder="1"/>
    <xf numFmtId="164" fontId="36" fillId="4" borderId="34" xfId="0" applyNumberFormat="1" applyFont="1" applyFill="1" applyBorder="1" applyAlignment="1">
      <alignment horizontal="center" vertical="center"/>
    </xf>
    <xf numFmtId="164" fontId="36" fillId="4" borderId="36" xfId="0" applyNumberFormat="1" applyFont="1" applyFill="1" applyBorder="1" applyAlignment="1">
      <alignment horizontal="center" vertical="center"/>
    </xf>
    <xf numFmtId="164" fontId="36" fillId="4" borderId="35" xfId="0" applyNumberFormat="1" applyFont="1" applyFill="1" applyBorder="1" applyAlignment="1">
      <alignment horizontal="center" vertical="center"/>
    </xf>
    <xf numFmtId="164" fontId="36" fillId="7" borderId="20" xfId="0" applyNumberFormat="1" applyFont="1" applyFill="1" applyBorder="1" applyAlignment="1">
      <alignment horizontal="center"/>
    </xf>
    <xf numFmtId="2" fontId="36" fillId="7" borderId="21" xfId="0" applyNumberFormat="1" applyFont="1" applyFill="1" applyBorder="1" applyAlignment="1">
      <alignment horizontal="center"/>
    </xf>
    <xf numFmtId="164" fontId="36" fillId="7" borderId="21" xfId="0" applyNumberFormat="1" applyFont="1" applyFill="1" applyBorder="1" applyAlignment="1">
      <alignment horizontal="center"/>
    </xf>
    <xf numFmtId="2" fontId="32" fillId="7" borderId="9" xfId="0" applyNumberFormat="1" applyFont="1" applyFill="1" applyBorder="1" applyAlignment="1">
      <alignment horizontal="center"/>
    </xf>
    <xf numFmtId="2" fontId="13" fillId="7" borderId="9" xfId="0" applyNumberFormat="1" applyFont="1" applyFill="1" applyBorder="1" applyAlignment="1">
      <alignment horizontal="center"/>
    </xf>
    <xf numFmtId="164" fontId="33" fillId="7" borderId="9" xfId="0" applyNumberFormat="1" applyFont="1" applyFill="1" applyBorder="1" applyAlignment="1">
      <alignment horizontal="center"/>
    </xf>
    <xf numFmtId="2" fontId="29" fillId="4" borderId="9" xfId="0" applyNumberFormat="1" applyFont="1" applyFill="1" applyBorder="1" applyAlignment="1">
      <alignment horizontal="center" vertical="center"/>
    </xf>
    <xf numFmtId="164" fontId="29" fillId="4" borderId="9" xfId="0" applyNumberFormat="1" applyFont="1" applyFill="1" applyBorder="1" applyAlignment="1">
      <alignment horizontal="center" vertical="center"/>
    </xf>
    <xf numFmtId="164" fontId="27" fillId="5" borderId="9" xfId="0" applyNumberFormat="1" applyFont="1" applyFill="1" applyBorder="1"/>
    <xf numFmtId="0" fontId="25" fillId="4" borderId="0" xfId="0" applyFont="1" applyFill="1"/>
    <xf numFmtId="10" fontId="13" fillId="0" borderId="20" xfId="0" applyNumberFormat="1" applyFont="1" applyBorder="1" applyAlignment="1">
      <alignment horizontal="center" wrapText="1"/>
    </xf>
    <xf numFmtId="2" fontId="13" fillId="4" borderId="21" xfId="0" applyNumberFormat="1" applyFont="1" applyFill="1" applyBorder="1" applyAlignment="1">
      <alignment horizontal="center"/>
    </xf>
    <xf numFmtId="164" fontId="13" fillId="4" borderId="21" xfId="0" applyNumberFormat="1" applyFont="1" applyFill="1" applyBorder="1" applyAlignment="1">
      <alignment horizontal="center"/>
    </xf>
    <xf numFmtId="164" fontId="17" fillId="4" borderId="73" xfId="0" applyNumberFormat="1" applyFont="1" applyFill="1" applyBorder="1" applyAlignment="1">
      <alignment horizontal="center" vertical="center"/>
    </xf>
    <xf numFmtId="164" fontId="13" fillId="3" borderId="42" xfId="0" applyNumberFormat="1" applyFont="1" applyFill="1" applyBorder="1" applyAlignment="1">
      <alignment horizontal="center"/>
    </xf>
    <xf numFmtId="2" fontId="13" fillId="4" borderId="20" xfId="0" applyNumberFormat="1" applyFont="1" applyFill="1" applyBorder="1" applyAlignment="1">
      <alignment horizontal="center" wrapText="1"/>
    </xf>
    <xf numFmtId="164" fontId="17" fillId="4" borderId="60" xfId="0" applyNumberFormat="1" applyFont="1" applyFill="1" applyBorder="1" applyAlignment="1">
      <alignment horizontal="center" vertical="center"/>
    </xf>
    <xf numFmtId="49" fontId="15" fillId="4" borderId="0" xfId="0" applyNumberFormat="1" applyFont="1" applyFill="1" applyAlignment="1">
      <alignment horizontal="center"/>
    </xf>
    <xf numFmtId="0" fontId="16" fillId="4" borderId="0" xfId="0" applyFont="1" applyFill="1" applyAlignment="1">
      <alignment horizontal="right"/>
    </xf>
    <xf numFmtId="2" fontId="13" fillId="4" borderId="0" xfId="0" applyNumberFormat="1" applyFont="1" applyFill="1" applyAlignment="1">
      <alignment horizontal="center"/>
    </xf>
    <xf numFmtId="164" fontId="13" fillId="4" borderId="0" xfId="0" applyNumberFormat="1" applyFont="1" applyFill="1" applyAlignment="1">
      <alignment horizontal="center"/>
    </xf>
    <xf numFmtId="164" fontId="17" fillId="4" borderId="0" xfId="0" applyNumberFormat="1" applyFont="1" applyFill="1" applyAlignment="1">
      <alignment horizontal="center" vertical="center"/>
    </xf>
    <xf numFmtId="0" fontId="38" fillId="0" borderId="0" xfId="0" applyFont="1"/>
    <xf numFmtId="0" fontId="11" fillId="5" borderId="1" xfId="0" applyFont="1" applyFill="1" applyBorder="1" applyAlignment="1">
      <alignment horizontal="center" vertical="top" wrapText="1"/>
    </xf>
    <xf numFmtId="164" fontId="11" fillId="5" borderId="61" xfId="0" applyNumberFormat="1" applyFont="1" applyFill="1" applyBorder="1"/>
    <xf numFmtId="0" fontId="11" fillId="5" borderId="61" xfId="0" applyFont="1" applyFill="1" applyBorder="1"/>
    <xf numFmtId="0" fontId="11" fillId="5" borderId="62" xfId="0" applyFont="1" applyFill="1" applyBorder="1"/>
    <xf numFmtId="2" fontId="11" fillId="4" borderId="18" xfId="0" applyNumberFormat="1" applyFont="1" applyFill="1" applyBorder="1"/>
    <xf numFmtId="0" fontId="11" fillId="4" borderId="9" xfId="0" applyFont="1" applyFill="1" applyBorder="1"/>
    <xf numFmtId="0" fontId="11" fillId="4" borderId="33" xfId="0" applyFont="1" applyFill="1" applyBorder="1"/>
    <xf numFmtId="0" fontId="11" fillId="4" borderId="18" xfId="0" applyFont="1" applyFill="1" applyBorder="1" applyAlignment="1">
      <alignment horizontal="center"/>
    </xf>
    <xf numFmtId="2" fontId="11" fillId="4" borderId="18" xfId="0" applyNumberFormat="1" applyFont="1" applyFill="1" applyBorder="1" applyAlignment="1">
      <alignment horizontal="center"/>
    </xf>
    <xf numFmtId="164" fontId="11" fillId="4" borderId="18" xfId="0" applyNumberFormat="1" applyFont="1" applyFill="1" applyBorder="1" applyAlignment="1">
      <alignment horizontal="center"/>
    </xf>
    <xf numFmtId="164" fontId="17" fillId="4" borderId="33" xfId="0" applyNumberFormat="1" applyFont="1" applyFill="1" applyBorder="1" applyAlignment="1">
      <alignment horizontal="center" vertical="center"/>
    </xf>
    <xf numFmtId="2" fontId="11" fillId="4" borderId="25" xfId="0" applyNumberFormat="1" applyFont="1" applyFill="1" applyBorder="1" applyAlignment="1">
      <alignment horizontal="center"/>
    </xf>
    <xf numFmtId="2" fontId="13" fillId="4" borderId="40" xfId="0" applyNumberFormat="1" applyFont="1" applyFill="1" applyBorder="1" applyAlignment="1">
      <alignment horizontal="center"/>
    </xf>
    <xf numFmtId="0" fontId="11" fillId="3" borderId="42" xfId="0" applyFont="1" applyFill="1" applyBorder="1" applyAlignment="1">
      <alignment horizontal="center"/>
    </xf>
    <xf numFmtId="2" fontId="13" fillId="3" borderId="44" xfId="0" applyNumberFormat="1" applyFont="1" applyFill="1" applyBorder="1" applyAlignment="1">
      <alignment horizontal="center"/>
    </xf>
    <xf numFmtId="164" fontId="11" fillId="5" borderId="9" xfId="0" applyNumberFormat="1" applyFont="1" applyFill="1" applyBorder="1"/>
    <xf numFmtId="0" fontId="11" fillId="5" borderId="9" xfId="0" applyFont="1" applyFill="1" applyBorder="1"/>
    <xf numFmtId="2" fontId="11" fillId="4" borderId="20" xfId="0" applyNumberFormat="1" applyFont="1" applyFill="1" applyBorder="1"/>
    <xf numFmtId="0" fontId="11" fillId="4" borderId="20" xfId="0" applyFont="1" applyFill="1" applyBorder="1"/>
    <xf numFmtId="4" fontId="12" fillId="4" borderId="33" xfId="0" applyNumberFormat="1" applyFont="1" applyFill="1" applyBorder="1" applyAlignment="1">
      <alignment horizontal="right" vertical="center"/>
    </xf>
    <xf numFmtId="0" fontId="0" fillId="4" borderId="0" xfId="0" applyFill="1"/>
    <xf numFmtId="49" fontId="11" fillId="4" borderId="0" xfId="0" applyNumberFormat="1" applyFont="1" applyFill="1" applyAlignment="1">
      <alignment horizontal="center"/>
    </xf>
    <xf numFmtId="2" fontId="40" fillId="4" borderId="9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31" fillId="7" borderId="13" xfId="0" applyFont="1" applyFill="1" applyBorder="1" applyAlignment="1">
      <alignment horizontal="right"/>
    </xf>
    <xf numFmtId="0" fontId="27" fillId="4" borderId="7" xfId="0" applyFont="1" applyFill="1" applyBorder="1" applyAlignment="1">
      <alignment horizontal="right"/>
    </xf>
    <xf numFmtId="0" fontId="27" fillId="7" borderId="12" xfId="0" applyFont="1" applyFill="1" applyBorder="1" applyAlignment="1">
      <alignment horizontal="right"/>
    </xf>
    <xf numFmtId="0" fontId="11" fillId="5" borderId="5" xfId="0" applyFont="1" applyFill="1" applyBorder="1" applyAlignment="1">
      <alignment horizontal="center" vertical="center" wrapText="1"/>
    </xf>
    <xf numFmtId="49" fontId="27" fillId="4" borderId="58" xfId="0" applyNumberFormat="1" applyFont="1" applyFill="1" applyBorder="1" applyAlignment="1">
      <alignment horizontal="center"/>
    </xf>
    <xf numFmtId="49" fontId="27" fillId="4" borderId="57" xfId="0" applyNumberFormat="1" applyFont="1" applyFill="1" applyBorder="1" applyAlignment="1">
      <alignment horizontal="center"/>
    </xf>
    <xf numFmtId="0" fontId="11" fillId="7" borderId="3" xfId="0" applyFont="1" applyFill="1" applyBorder="1" applyAlignment="1">
      <alignment horizontal="right"/>
    </xf>
    <xf numFmtId="0" fontId="11" fillId="7" borderId="8" xfId="0" applyFont="1" applyFill="1" applyBorder="1" applyAlignment="1">
      <alignment horizontal="right"/>
    </xf>
    <xf numFmtId="49" fontId="11" fillId="5" borderId="11" xfId="0" applyNumberFormat="1" applyFont="1" applyFill="1" applyBorder="1" applyAlignment="1">
      <alignment horizontal="center" vertical="top" wrapText="1"/>
    </xf>
    <xf numFmtId="49" fontId="11" fillId="8" borderId="74" xfId="0" applyNumberFormat="1" applyFont="1" applyFill="1" applyBorder="1" applyAlignment="1">
      <alignment horizontal="center"/>
    </xf>
    <xf numFmtId="49" fontId="11" fillId="8" borderId="71" xfId="0" applyNumberFormat="1" applyFont="1" applyFill="1" applyBorder="1" applyAlignment="1">
      <alignment horizontal="center"/>
    </xf>
    <xf numFmtId="49" fontId="11" fillId="8" borderId="62" xfId="0" applyNumberFormat="1" applyFont="1" applyFill="1" applyBorder="1" applyAlignment="1">
      <alignment horizontal="center"/>
    </xf>
    <xf numFmtId="49" fontId="11" fillId="8" borderId="34" xfId="0" applyNumberFormat="1" applyFont="1" applyFill="1" applyBorder="1" applyAlignment="1">
      <alignment horizontal="center"/>
    </xf>
    <xf numFmtId="49" fontId="11" fillId="3" borderId="71" xfId="0" applyNumberFormat="1" applyFont="1" applyFill="1" applyBorder="1" applyAlignment="1">
      <alignment horizontal="center"/>
    </xf>
    <xf numFmtId="49" fontId="11" fillId="3" borderId="34" xfId="0" applyNumberFormat="1" applyFont="1" applyFill="1" applyBorder="1" applyAlignment="1">
      <alignment horizontal="center"/>
    </xf>
    <xf numFmtId="0" fontId="11" fillId="5" borderId="61" xfId="0" applyFont="1" applyFill="1" applyBorder="1" applyAlignment="1">
      <alignment horizontal="center" vertical="top" wrapText="1"/>
    </xf>
    <xf numFmtId="49" fontId="11" fillId="9" borderId="71" xfId="0" applyNumberFormat="1" applyFont="1" applyFill="1" applyBorder="1" applyAlignment="1">
      <alignment horizontal="center"/>
    </xf>
    <xf numFmtId="49" fontId="11" fillId="9" borderId="34" xfId="0" applyNumberFormat="1" applyFont="1" applyFill="1" applyBorder="1" applyAlignment="1">
      <alignment horizontal="center"/>
    </xf>
    <xf numFmtId="164" fontId="36" fillId="7" borderId="9" xfId="0" applyNumberFormat="1" applyFont="1" applyFill="1" applyBorder="1" applyAlignment="1">
      <alignment horizontal="center"/>
    </xf>
    <xf numFmtId="164" fontId="36" fillId="4" borderId="20" xfId="0" applyNumberFormat="1" applyFont="1" applyFill="1" applyBorder="1" applyAlignment="1">
      <alignment horizontal="center"/>
    </xf>
    <xf numFmtId="2" fontId="33" fillId="7" borderId="9" xfId="0" applyNumberFormat="1" applyFont="1" applyFill="1" applyBorder="1" applyAlignment="1">
      <alignment horizontal="center"/>
    </xf>
    <xf numFmtId="0" fontId="11" fillId="7" borderId="3" xfId="0" applyFont="1" applyFill="1" applyBorder="1"/>
    <xf numFmtId="49" fontId="11" fillId="10" borderId="67" xfId="0" applyNumberFormat="1" applyFont="1" applyFill="1" applyBorder="1" applyAlignment="1">
      <alignment horizontal="center"/>
    </xf>
    <xf numFmtId="49" fontId="27" fillId="10" borderId="68" xfId="0" applyNumberFormat="1" applyFont="1" applyFill="1" applyBorder="1" applyAlignment="1">
      <alignment horizontal="center"/>
    </xf>
    <xf numFmtId="2" fontId="32" fillId="10" borderId="9" xfId="0" applyNumberFormat="1" applyFont="1" applyFill="1" applyBorder="1" applyAlignment="1">
      <alignment horizontal="center"/>
    </xf>
    <xf numFmtId="2" fontId="13" fillId="10" borderId="9" xfId="0" applyNumberFormat="1" applyFont="1" applyFill="1" applyBorder="1" applyAlignment="1">
      <alignment horizontal="center"/>
    </xf>
    <xf numFmtId="2" fontId="33" fillId="10" borderId="9" xfId="0" applyNumberFormat="1" applyFont="1" applyFill="1" applyBorder="1" applyAlignment="1">
      <alignment horizontal="center"/>
    </xf>
    <xf numFmtId="0" fontId="19" fillId="4" borderId="8" xfId="0" applyFont="1" applyFill="1" applyBorder="1" applyAlignment="1">
      <alignment horizontal="right"/>
    </xf>
    <xf numFmtId="2" fontId="36" fillId="4" borderId="20" xfId="0" applyNumberFormat="1" applyFont="1" applyFill="1" applyBorder="1" applyAlignment="1">
      <alignment horizontal="center"/>
    </xf>
    <xf numFmtId="164" fontId="36" fillId="4" borderId="68" xfId="0" applyNumberFormat="1" applyFont="1" applyFill="1" applyBorder="1" applyAlignment="1">
      <alignment horizontal="center" vertical="center"/>
    </xf>
    <xf numFmtId="2" fontId="36" fillId="4" borderId="35" xfId="0" applyNumberFormat="1" applyFont="1" applyFill="1" applyBorder="1" applyAlignment="1">
      <alignment horizontal="center" vertical="center"/>
    </xf>
    <xf numFmtId="164" fontId="36" fillId="4" borderId="33" xfId="0" applyNumberFormat="1" applyFont="1" applyFill="1" applyBorder="1" applyAlignment="1">
      <alignment horizontal="center" vertical="center"/>
    </xf>
    <xf numFmtId="2" fontId="12" fillId="10" borderId="33" xfId="0" applyNumberFormat="1" applyFont="1" applyFill="1" applyBorder="1" applyAlignment="1">
      <alignment horizontal="center" vertical="center"/>
    </xf>
    <xf numFmtId="2" fontId="12" fillId="4" borderId="33" xfId="0" applyNumberFormat="1" applyFont="1" applyFill="1" applyBorder="1" applyAlignment="1">
      <alignment horizontal="center" vertical="center"/>
    </xf>
    <xf numFmtId="49" fontId="0" fillId="0" borderId="65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0" fontId="42" fillId="0" borderId="0" xfId="0" applyFont="1"/>
    <xf numFmtId="164" fontId="36" fillId="3" borderId="20" xfId="0" applyNumberFormat="1" applyFont="1" applyFill="1" applyBorder="1" applyAlignment="1">
      <alignment horizontal="center"/>
    </xf>
    <xf numFmtId="164" fontId="36" fillId="3" borderId="21" xfId="0" applyNumberFormat="1" applyFont="1" applyFill="1" applyBorder="1" applyAlignment="1">
      <alignment horizontal="center"/>
    </xf>
    <xf numFmtId="10" fontId="33" fillId="4" borderId="9" xfId="0" applyNumberFormat="1" applyFont="1" applyFill="1" applyBorder="1" applyAlignment="1">
      <alignment horizontal="center"/>
    </xf>
    <xf numFmtId="10" fontId="33" fillId="4" borderId="20" xfId="0" applyNumberFormat="1" applyFont="1" applyFill="1" applyBorder="1" applyAlignment="1">
      <alignment horizontal="center"/>
    </xf>
    <xf numFmtId="10" fontId="32" fillId="4" borderId="31" xfId="0" applyNumberFormat="1" applyFont="1" applyFill="1" applyBorder="1" applyAlignment="1">
      <alignment horizontal="center"/>
    </xf>
    <xf numFmtId="0" fontId="11" fillId="7" borderId="4" xfId="0" applyFont="1" applyFill="1" applyBorder="1" applyAlignment="1">
      <alignment wrapText="1"/>
    </xf>
    <xf numFmtId="0" fontId="27" fillId="7" borderId="8" xfId="0" applyFont="1" applyFill="1" applyBorder="1" applyAlignment="1">
      <alignment wrapText="1"/>
    </xf>
    <xf numFmtId="0" fontId="11" fillId="7" borderId="8" xfId="0" applyFont="1" applyFill="1" applyBorder="1"/>
    <xf numFmtId="0" fontId="11" fillId="7" borderId="4" xfId="0" applyFont="1" applyFill="1" applyBorder="1"/>
    <xf numFmtId="0" fontId="27" fillId="7" borderId="8" xfId="0" applyFont="1" applyFill="1" applyBorder="1"/>
    <xf numFmtId="164" fontId="36" fillId="4" borderId="21" xfId="0" applyNumberFormat="1" applyFont="1" applyFill="1" applyBorder="1" applyAlignment="1">
      <alignment horizontal="center"/>
    </xf>
    <xf numFmtId="49" fontId="11" fillId="11" borderId="65" xfId="0" applyNumberFormat="1" applyFont="1" applyFill="1" applyBorder="1" applyAlignment="1">
      <alignment horizontal="center"/>
    </xf>
    <xf numFmtId="49" fontId="27" fillId="11" borderId="33" xfId="0" applyNumberFormat="1" applyFont="1" applyFill="1" applyBorder="1" applyAlignment="1">
      <alignment horizontal="center"/>
    </xf>
    <xf numFmtId="164" fontId="36" fillId="11" borderId="9" xfId="0" applyNumberFormat="1" applyFont="1" applyFill="1" applyBorder="1" applyAlignment="1">
      <alignment horizontal="center"/>
    </xf>
    <xf numFmtId="164" fontId="36" fillId="11" borderId="33" xfId="0" applyNumberFormat="1" applyFont="1" applyFill="1" applyBorder="1" applyAlignment="1">
      <alignment horizontal="center" vertical="center"/>
    </xf>
    <xf numFmtId="164" fontId="36" fillId="11" borderId="20" xfId="0" applyNumberFormat="1" applyFont="1" applyFill="1" applyBorder="1" applyAlignment="1">
      <alignment horizontal="center"/>
    </xf>
    <xf numFmtId="164" fontId="33" fillId="11" borderId="9" xfId="0" applyNumberFormat="1" applyFont="1" applyFill="1" applyBorder="1" applyAlignment="1">
      <alignment horizontal="center"/>
    </xf>
    <xf numFmtId="2" fontId="33" fillId="11" borderId="9" xfId="0" applyNumberFormat="1" applyFont="1" applyFill="1" applyBorder="1" applyAlignment="1">
      <alignment horizontal="center"/>
    </xf>
    <xf numFmtId="49" fontId="11" fillId="12" borderId="71" xfId="0" applyNumberFormat="1" applyFont="1" applyFill="1" applyBorder="1" applyAlignment="1">
      <alignment horizontal="center"/>
    </xf>
    <xf numFmtId="49" fontId="27" fillId="12" borderId="34" xfId="0" applyNumberFormat="1" applyFont="1" applyFill="1" applyBorder="1" applyAlignment="1">
      <alignment horizontal="center"/>
    </xf>
    <xf numFmtId="164" fontId="36" fillId="12" borderId="20" xfId="0" applyNumberFormat="1" applyFont="1" applyFill="1" applyBorder="1" applyAlignment="1">
      <alignment horizontal="center"/>
    </xf>
    <xf numFmtId="164" fontId="36" fillId="12" borderId="34" xfId="0" applyNumberFormat="1" applyFont="1" applyFill="1" applyBorder="1" applyAlignment="1">
      <alignment horizontal="center" vertical="center"/>
    </xf>
    <xf numFmtId="49" fontId="11" fillId="12" borderId="34" xfId="0" applyNumberFormat="1" applyFont="1" applyFill="1" applyBorder="1" applyAlignment="1">
      <alignment horizontal="center"/>
    </xf>
    <xf numFmtId="0" fontId="11" fillId="12" borderId="3" xfId="0" applyFont="1" applyFill="1" applyBorder="1" applyAlignment="1">
      <alignment wrapText="1"/>
    </xf>
    <xf numFmtId="0" fontId="11" fillId="12" borderId="8" xfId="0" applyFont="1" applyFill="1" applyBorder="1" applyAlignment="1">
      <alignment wrapText="1"/>
    </xf>
    <xf numFmtId="164" fontId="36" fillId="12" borderId="8" xfId="0" applyNumberFormat="1" applyFont="1" applyFill="1" applyBorder="1" applyAlignment="1">
      <alignment horizontal="center"/>
    </xf>
    <xf numFmtId="2" fontId="36" fillId="12" borderId="20" xfId="0" applyNumberFormat="1" applyFont="1" applyFill="1" applyBorder="1" applyAlignment="1">
      <alignment horizontal="center"/>
    </xf>
    <xf numFmtId="164" fontId="36" fillId="12" borderId="23" xfId="0" applyNumberFormat="1" applyFont="1" applyFill="1" applyBorder="1" applyAlignment="1">
      <alignment horizontal="center"/>
    </xf>
    <xf numFmtId="164" fontId="36" fillId="12" borderId="21" xfId="0" applyNumberFormat="1" applyFont="1" applyFill="1" applyBorder="1" applyAlignment="1">
      <alignment horizontal="center"/>
    </xf>
    <xf numFmtId="2" fontId="36" fillId="12" borderId="21" xfId="0" applyNumberFormat="1" applyFont="1" applyFill="1" applyBorder="1" applyAlignment="1">
      <alignment horizontal="center"/>
    </xf>
    <xf numFmtId="2" fontId="36" fillId="12" borderId="35" xfId="0" applyNumberFormat="1" applyFont="1" applyFill="1" applyBorder="1" applyAlignment="1">
      <alignment horizontal="center" vertical="center"/>
    </xf>
    <xf numFmtId="164" fontId="36" fillId="12" borderId="35" xfId="0" applyNumberFormat="1" applyFont="1" applyFill="1" applyBorder="1" applyAlignment="1">
      <alignment horizontal="center" vertical="center"/>
    </xf>
    <xf numFmtId="0" fontId="15" fillId="12" borderId="3" xfId="0" applyFont="1" applyFill="1" applyBorder="1"/>
    <xf numFmtId="164" fontId="15" fillId="12" borderId="13" xfId="0" applyNumberFormat="1" applyFont="1" applyFill="1" applyBorder="1"/>
    <xf numFmtId="164" fontId="33" fillId="12" borderId="9" xfId="0" applyNumberFormat="1" applyFont="1" applyFill="1" applyBorder="1" applyAlignment="1">
      <alignment horizontal="center"/>
    </xf>
    <xf numFmtId="164" fontId="36" fillId="12" borderId="9" xfId="0" applyNumberFormat="1" applyFont="1" applyFill="1" applyBorder="1" applyAlignment="1">
      <alignment horizontal="center"/>
    </xf>
    <xf numFmtId="2" fontId="36" fillId="12" borderId="33" xfId="0" applyNumberFormat="1" applyFont="1" applyFill="1" applyBorder="1" applyAlignment="1">
      <alignment horizontal="center" vertical="center"/>
    </xf>
    <xf numFmtId="49" fontId="11" fillId="12" borderId="69" xfId="0" applyNumberFormat="1" applyFont="1" applyFill="1" applyBorder="1" applyAlignment="1">
      <alignment horizontal="center"/>
    </xf>
    <xf numFmtId="49" fontId="27" fillId="12" borderId="35" xfId="0" applyNumberFormat="1" applyFont="1" applyFill="1" applyBorder="1" applyAlignment="1">
      <alignment horizontal="center"/>
    </xf>
    <xf numFmtId="0" fontId="15" fillId="12" borderId="75" xfId="0" applyFont="1" applyFill="1" applyBorder="1" applyAlignment="1">
      <alignment horizontal="center"/>
    </xf>
    <xf numFmtId="0" fontId="15" fillId="12" borderId="23" xfId="0" applyFont="1" applyFill="1" applyBorder="1" applyAlignment="1">
      <alignment horizontal="center"/>
    </xf>
    <xf numFmtId="164" fontId="33" fillId="12" borderId="21" xfId="0" applyNumberFormat="1" applyFont="1" applyFill="1" applyBorder="1" applyAlignment="1">
      <alignment horizontal="center"/>
    </xf>
    <xf numFmtId="49" fontId="11" fillId="12" borderId="67" xfId="0" applyNumberFormat="1" applyFont="1" applyFill="1" applyBorder="1" applyAlignment="1">
      <alignment horizontal="center"/>
    </xf>
    <xf numFmtId="49" fontId="27" fillId="12" borderId="68" xfId="0" applyNumberFormat="1" applyFont="1" applyFill="1" applyBorder="1" applyAlignment="1">
      <alignment horizontal="center"/>
    </xf>
    <xf numFmtId="0" fontId="11" fillId="12" borderId="3" xfId="0" applyFont="1" applyFill="1" applyBorder="1"/>
    <xf numFmtId="0" fontId="11" fillId="12" borderId="8" xfId="0" applyFont="1" applyFill="1" applyBorder="1"/>
    <xf numFmtId="2" fontId="36" fillId="12" borderId="9" xfId="0" applyNumberFormat="1" applyFont="1" applyFill="1" applyBorder="1" applyAlignment="1">
      <alignment horizontal="center"/>
    </xf>
    <xf numFmtId="0" fontId="15" fillId="12" borderId="3" xfId="0" applyFont="1" applyFill="1" applyBorder="1" applyAlignment="1">
      <alignment horizontal="center"/>
    </xf>
    <xf numFmtId="0" fontId="15" fillId="12" borderId="8" xfId="0" applyFont="1" applyFill="1" applyBorder="1" applyAlignment="1">
      <alignment horizontal="center"/>
    </xf>
    <xf numFmtId="164" fontId="33" fillId="12" borderId="19" xfId="0" applyNumberFormat="1" applyFont="1" applyFill="1" applyBorder="1" applyAlignment="1">
      <alignment horizontal="center"/>
    </xf>
    <xf numFmtId="164" fontId="36" fillId="12" borderId="19" xfId="0" applyNumberFormat="1" applyFont="1" applyFill="1" applyBorder="1" applyAlignment="1">
      <alignment horizontal="center"/>
    </xf>
    <xf numFmtId="2" fontId="33" fillId="12" borderId="19" xfId="0" applyNumberFormat="1" applyFont="1" applyFill="1" applyBorder="1" applyAlignment="1">
      <alignment horizontal="center"/>
    </xf>
    <xf numFmtId="2" fontId="36" fillId="12" borderId="68" xfId="0" applyNumberFormat="1" applyFont="1" applyFill="1" applyBorder="1" applyAlignment="1">
      <alignment horizontal="center" vertical="center"/>
    </xf>
    <xf numFmtId="164" fontId="36" fillId="12" borderId="68" xfId="0" applyNumberFormat="1" applyFont="1" applyFill="1" applyBorder="1" applyAlignment="1">
      <alignment horizontal="center" vertical="center"/>
    </xf>
    <xf numFmtId="49" fontId="11" fillId="11" borderId="71" xfId="0" applyNumberFormat="1" applyFont="1" applyFill="1" applyBorder="1" applyAlignment="1">
      <alignment horizontal="center"/>
    </xf>
    <xf numFmtId="49" fontId="27" fillId="11" borderId="34" xfId="0" applyNumberFormat="1" applyFont="1" applyFill="1" applyBorder="1" applyAlignment="1">
      <alignment horizontal="center"/>
    </xf>
    <xf numFmtId="164" fontId="36" fillId="11" borderId="34" xfId="0" applyNumberFormat="1" applyFont="1" applyFill="1" applyBorder="1" applyAlignment="1">
      <alignment horizontal="center" vertical="center"/>
    </xf>
    <xf numFmtId="49" fontId="11" fillId="11" borderId="76" xfId="0" applyNumberFormat="1" applyFont="1" applyFill="1" applyBorder="1" applyAlignment="1">
      <alignment horizontal="center"/>
    </xf>
    <xf numFmtId="49" fontId="27" fillId="11" borderId="77" xfId="0" applyNumberFormat="1" applyFont="1" applyFill="1" applyBorder="1" applyAlignment="1">
      <alignment horizontal="center"/>
    </xf>
    <xf numFmtId="2" fontId="36" fillId="11" borderId="18" xfId="0" applyNumberFormat="1" applyFont="1" applyFill="1" applyBorder="1" applyAlignment="1">
      <alignment horizontal="center" vertical="center"/>
    </xf>
    <xf numFmtId="10" fontId="29" fillId="4" borderId="21" xfId="0" applyNumberFormat="1" applyFont="1" applyFill="1" applyBorder="1" applyAlignment="1">
      <alignment horizontal="center"/>
    </xf>
    <xf numFmtId="0" fontId="15" fillId="12" borderId="58" xfId="0" applyFont="1" applyFill="1" applyBorder="1" applyAlignment="1">
      <alignment horizontal="center"/>
    </xf>
    <xf numFmtId="0" fontId="15" fillId="12" borderId="57" xfId="0" applyFont="1" applyFill="1" applyBorder="1" applyAlignment="1">
      <alignment horizontal="center"/>
    </xf>
    <xf numFmtId="2" fontId="36" fillId="12" borderId="19" xfId="0" applyNumberFormat="1" applyFont="1" applyFill="1" applyBorder="1" applyAlignment="1">
      <alignment horizontal="center"/>
    </xf>
    <xf numFmtId="0" fontId="11" fillId="12" borderId="3" xfId="0" applyFont="1" applyFill="1" applyBorder="1" applyAlignment="1">
      <alignment horizontal="right"/>
    </xf>
    <xf numFmtId="0" fontId="11" fillId="12" borderId="8" xfId="0" applyFont="1" applyFill="1" applyBorder="1" applyAlignment="1">
      <alignment horizontal="right"/>
    </xf>
    <xf numFmtId="164" fontId="36" fillId="12" borderId="25" xfId="0" applyNumberFormat="1" applyFont="1" applyFill="1" applyBorder="1" applyAlignment="1">
      <alignment horizontal="center" vertical="center"/>
    </xf>
    <xf numFmtId="164" fontId="36" fillId="12" borderId="18" xfId="0" applyNumberFormat="1" applyFont="1" applyFill="1" applyBorder="1" applyAlignment="1">
      <alignment horizontal="center" vertical="center"/>
    </xf>
    <xf numFmtId="0" fontId="11" fillId="12" borderId="32" xfId="0" applyFont="1" applyFill="1" applyBorder="1" applyAlignment="1">
      <alignment horizontal="right"/>
    </xf>
    <xf numFmtId="0" fontId="11" fillId="12" borderId="13" xfId="0" applyFont="1" applyFill="1" applyBorder="1" applyAlignment="1">
      <alignment horizontal="right"/>
    </xf>
    <xf numFmtId="0" fontId="11" fillId="4" borderId="0" xfId="0" applyFont="1" applyFill="1" applyAlignment="1">
      <alignment horizontal="center"/>
    </xf>
    <xf numFmtId="0" fontId="11" fillId="4" borderId="7" xfId="0" applyFont="1" applyFill="1" applyBorder="1" applyAlignment="1">
      <alignment horizontal="right" wrapText="1"/>
    </xf>
    <xf numFmtId="0" fontId="11" fillId="4" borderId="18" xfId="0" applyFont="1" applyFill="1" applyBorder="1" applyAlignment="1">
      <alignment horizontal="right"/>
    </xf>
    <xf numFmtId="2" fontId="11" fillId="4" borderId="8" xfId="0" applyNumberFormat="1" applyFont="1" applyFill="1" applyBorder="1" applyAlignment="1">
      <alignment horizontal="right" wrapText="1"/>
    </xf>
    <xf numFmtId="0" fontId="11" fillId="4" borderId="8" xfId="0" applyFont="1" applyFill="1" applyBorder="1" applyAlignment="1">
      <alignment horizontal="right" wrapText="1"/>
    </xf>
    <xf numFmtId="0" fontId="11" fillId="4" borderId="7" xfId="0" applyFont="1" applyFill="1" applyBorder="1" applyAlignment="1">
      <alignment horizontal="right"/>
    </xf>
    <xf numFmtId="0" fontId="11" fillId="4" borderId="8" xfId="0" applyFont="1" applyFill="1" applyBorder="1" applyAlignment="1">
      <alignment horizontal="right"/>
    </xf>
    <xf numFmtId="0" fontId="11" fillId="4" borderId="13" xfId="0" applyFont="1" applyFill="1" applyBorder="1" applyAlignment="1">
      <alignment horizontal="right"/>
    </xf>
    <xf numFmtId="49" fontId="11" fillId="4" borderId="8" xfId="0" applyNumberFormat="1" applyFont="1" applyFill="1" applyBorder="1" applyAlignment="1">
      <alignment horizontal="center" wrapText="1"/>
    </xf>
    <xf numFmtId="0" fontId="11" fillId="4" borderId="25" xfId="0" applyFont="1" applyFill="1" applyBorder="1" applyAlignment="1">
      <alignment horizontal="right" wrapText="1"/>
    </xf>
    <xf numFmtId="0" fontId="11" fillId="4" borderId="57" xfId="0" applyFont="1" applyFill="1" applyBorder="1" applyAlignment="1">
      <alignment horizontal="right" wrapText="1"/>
    </xf>
    <xf numFmtId="164" fontId="38" fillId="0" borderId="0" xfId="0" applyNumberFormat="1" applyFont="1" applyAlignment="1">
      <alignment horizontal="center" vertical="center"/>
    </xf>
    <xf numFmtId="49" fontId="31" fillId="4" borderId="56" xfId="0" applyNumberFormat="1" applyFont="1" applyFill="1" applyBorder="1" applyAlignment="1">
      <alignment horizontal="center"/>
    </xf>
    <xf numFmtId="0" fontId="34" fillId="4" borderId="56" xfId="0" applyFont="1" applyFill="1" applyBorder="1" applyAlignment="1">
      <alignment horizontal="right"/>
    </xf>
    <xf numFmtId="0" fontId="27" fillId="4" borderId="56" xfId="0" applyFont="1" applyFill="1" applyBorder="1" applyAlignment="1">
      <alignment horizontal="center"/>
    </xf>
    <xf numFmtId="2" fontId="29" fillId="4" borderId="56" xfId="0" applyNumberFormat="1" applyFont="1" applyFill="1" applyBorder="1" applyAlignment="1">
      <alignment horizontal="center"/>
    </xf>
    <xf numFmtId="164" fontId="35" fillId="4" borderId="56" xfId="0" applyNumberFormat="1" applyFont="1" applyFill="1" applyBorder="1" applyAlignment="1">
      <alignment horizontal="center" vertical="center"/>
    </xf>
    <xf numFmtId="49" fontId="31" fillId="3" borderId="0" xfId="0" applyNumberFormat="1" applyFont="1" applyFill="1" applyAlignment="1">
      <alignment horizontal="center"/>
    </xf>
    <xf numFmtId="0" fontId="27" fillId="3" borderId="0" xfId="0" applyFont="1" applyFill="1" applyAlignment="1">
      <alignment horizontal="center"/>
    </xf>
    <xf numFmtId="2" fontId="29" fillId="3" borderId="0" xfId="0" applyNumberFormat="1" applyFont="1" applyFill="1" applyAlignment="1">
      <alignment horizontal="center"/>
    </xf>
    <xf numFmtId="2" fontId="1" fillId="4" borderId="0" xfId="0" applyNumberFormat="1" applyFont="1" applyFill="1"/>
    <xf numFmtId="164" fontId="13" fillId="4" borderId="19" xfId="0" applyNumberFormat="1" applyFont="1" applyFill="1" applyBorder="1" applyAlignment="1">
      <alignment horizontal="center"/>
    </xf>
    <xf numFmtId="10" fontId="36" fillId="4" borderId="68" xfId="0" applyNumberFormat="1" applyFont="1" applyFill="1" applyBorder="1" applyAlignment="1">
      <alignment horizontal="center" vertical="center"/>
    </xf>
    <xf numFmtId="10" fontId="36" fillId="4" borderId="33" xfId="0" applyNumberFormat="1" applyFont="1" applyFill="1" applyBorder="1" applyAlignment="1">
      <alignment horizontal="center" vertical="center"/>
    </xf>
    <xf numFmtId="10" fontId="36" fillId="12" borderId="33" xfId="0" applyNumberFormat="1" applyFont="1" applyFill="1" applyBorder="1" applyAlignment="1">
      <alignment horizontal="center" vertical="center"/>
    </xf>
    <xf numFmtId="10" fontId="36" fillId="12" borderId="34" xfId="0" applyNumberFormat="1" applyFont="1" applyFill="1" applyBorder="1" applyAlignment="1">
      <alignment horizontal="center" vertical="center"/>
    </xf>
    <xf numFmtId="0" fontId="22" fillId="4" borderId="18" xfId="0" applyFont="1" applyFill="1" applyBorder="1" applyAlignment="1">
      <alignment horizontal="right" wrapText="1"/>
    </xf>
    <xf numFmtId="0" fontId="15" fillId="4" borderId="13" xfId="0" applyFont="1" applyFill="1" applyBorder="1" applyAlignment="1">
      <alignment horizontal="right" wrapText="1"/>
    </xf>
    <xf numFmtId="49" fontId="22" fillId="4" borderId="7" xfId="0" applyNumberFormat="1" applyFont="1" applyFill="1" applyBorder="1" applyAlignment="1">
      <alignment horizontal="right" vertical="top" wrapText="1"/>
    </xf>
    <xf numFmtId="49" fontId="11" fillId="4" borderId="58" xfId="0" applyNumberFormat="1" applyFont="1" applyFill="1" applyBorder="1" applyAlignment="1">
      <alignment horizontal="center"/>
    </xf>
    <xf numFmtId="49" fontId="11" fillId="4" borderId="57" xfId="0" applyNumberFormat="1" applyFont="1" applyFill="1" applyBorder="1" applyAlignment="1">
      <alignment horizontal="center"/>
    </xf>
    <xf numFmtId="0" fontId="22" fillId="4" borderId="25" xfId="0" applyFont="1" applyFill="1" applyBorder="1" applyAlignment="1">
      <alignment horizontal="right" wrapText="1"/>
    </xf>
    <xf numFmtId="0" fontId="22" fillId="4" borderId="57" xfId="0" applyFont="1" applyFill="1" applyBorder="1" applyAlignment="1">
      <alignment horizontal="right" wrapText="1"/>
    </xf>
    <xf numFmtId="164" fontId="13" fillId="4" borderId="25" xfId="0" applyNumberFormat="1" applyFont="1" applyFill="1" applyBorder="1" applyAlignment="1">
      <alignment horizontal="center"/>
    </xf>
    <xf numFmtId="164" fontId="12" fillId="4" borderId="59" xfId="0" applyNumberFormat="1" applyFont="1" applyFill="1" applyBorder="1" applyAlignment="1">
      <alignment horizontal="center" vertical="center"/>
    </xf>
    <xf numFmtId="2" fontId="13" fillId="4" borderId="18" xfId="0" applyNumberFormat="1" applyFont="1" applyFill="1" applyBorder="1" applyAlignment="1">
      <alignment horizontal="center"/>
    </xf>
    <xf numFmtId="0" fontId="22" fillId="4" borderId="18" xfId="0" applyFont="1" applyFill="1" applyBorder="1" applyAlignment="1">
      <alignment vertical="top" wrapText="1"/>
    </xf>
    <xf numFmtId="49" fontId="22" fillId="4" borderId="13" xfId="0" applyNumberFormat="1" applyFont="1" applyFill="1" applyBorder="1" applyAlignment="1">
      <alignment horizontal="right" vertical="top" wrapText="1"/>
    </xf>
    <xf numFmtId="49" fontId="11" fillId="4" borderId="8" xfId="0" applyNumberFormat="1" applyFont="1" applyFill="1" applyBorder="1" applyAlignment="1">
      <alignment horizontal="right" wrapText="1"/>
    </xf>
    <xf numFmtId="164" fontId="13" fillId="4" borderId="7" xfId="0" applyNumberFormat="1" applyFont="1" applyFill="1" applyBorder="1" applyAlignment="1">
      <alignment horizontal="center"/>
    </xf>
    <xf numFmtId="2" fontId="32" fillId="3" borderId="5" xfId="0" applyNumberFormat="1" applyFont="1" applyFill="1" applyBorder="1" applyAlignment="1">
      <alignment horizontal="center"/>
    </xf>
    <xf numFmtId="0" fontId="0" fillId="4" borderId="56" xfId="0" applyFill="1" applyBorder="1"/>
    <xf numFmtId="49" fontId="15" fillId="4" borderId="56" xfId="0" applyNumberFormat="1" applyFont="1" applyFill="1" applyBorder="1" applyAlignment="1">
      <alignment horizontal="center"/>
    </xf>
    <xf numFmtId="0" fontId="16" fillId="4" borderId="56" xfId="0" applyFont="1" applyFill="1" applyBorder="1" applyAlignment="1">
      <alignment horizontal="right"/>
    </xf>
    <xf numFmtId="2" fontId="13" fillId="4" borderId="56" xfId="0" applyNumberFormat="1" applyFont="1" applyFill="1" applyBorder="1" applyAlignment="1">
      <alignment horizontal="center"/>
    </xf>
    <xf numFmtId="164" fontId="13" fillId="4" borderId="56" xfId="0" applyNumberFormat="1" applyFont="1" applyFill="1" applyBorder="1" applyAlignment="1">
      <alignment horizontal="center"/>
    </xf>
    <xf numFmtId="164" fontId="17" fillId="4" borderId="56" xfId="0" applyNumberFormat="1" applyFont="1" applyFill="1" applyBorder="1" applyAlignment="1">
      <alignment horizontal="center" vertical="center"/>
    </xf>
    <xf numFmtId="49" fontId="11" fillId="4" borderId="13" xfId="0" applyNumberFormat="1" applyFont="1" applyFill="1" applyBorder="1" applyAlignment="1">
      <alignment horizontal="right" wrapText="1"/>
    </xf>
    <xf numFmtId="49" fontId="11" fillId="4" borderId="8" xfId="0" applyNumberFormat="1" applyFont="1" applyFill="1" applyBorder="1" applyAlignment="1">
      <alignment horizontal="right"/>
    </xf>
    <xf numFmtId="49" fontId="22" fillId="4" borderId="7" xfId="0" applyNumberFormat="1" applyFont="1" applyFill="1" applyBorder="1" applyAlignment="1">
      <alignment vertical="top" wrapText="1"/>
    </xf>
    <xf numFmtId="49" fontId="22" fillId="4" borderId="8" xfId="0" applyNumberFormat="1" applyFont="1" applyFill="1" applyBorder="1" applyAlignment="1">
      <alignment vertical="top" wrapText="1"/>
    </xf>
    <xf numFmtId="49" fontId="22" fillId="4" borderId="7" xfId="0" applyNumberFormat="1" applyFont="1" applyFill="1" applyBorder="1" applyAlignment="1">
      <alignment horizontal="center" vertical="top" wrapText="1"/>
    </xf>
    <xf numFmtId="49" fontId="22" fillId="4" borderId="8" xfId="0" applyNumberFormat="1" applyFont="1" applyFill="1" applyBorder="1" applyAlignment="1">
      <alignment horizontal="center" vertical="top" wrapText="1"/>
    </xf>
    <xf numFmtId="0" fontId="22" fillId="0" borderId="7" xfId="0" applyFont="1" applyBorder="1" applyAlignment="1">
      <alignment wrapText="1"/>
    </xf>
    <xf numFmtId="0" fontId="22" fillId="0" borderId="8" xfId="0" applyFont="1" applyBorder="1" applyAlignment="1">
      <alignment wrapText="1"/>
    </xf>
    <xf numFmtId="2" fontId="13" fillId="0" borderId="19" xfId="0" applyNumberFormat="1" applyFont="1" applyBorder="1" applyAlignment="1">
      <alignment horizontal="center" wrapText="1"/>
    </xf>
    <xf numFmtId="0" fontId="22" fillId="4" borderId="30" xfId="0" applyFont="1" applyFill="1" applyBorder="1" applyAlignment="1">
      <alignment horizontal="right" vertical="top" wrapText="1"/>
    </xf>
    <xf numFmtId="0" fontId="15" fillId="0" borderId="8" xfId="0" applyFont="1" applyBorder="1" applyAlignment="1">
      <alignment horizontal="right" wrapText="1"/>
    </xf>
    <xf numFmtId="49" fontId="22" fillId="4" borderId="8" xfId="0" applyNumberFormat="1" applyFont="1" applyFill="1" applyBorder="1" applyAlignment="1">
      <alignment horizontal="right" vertical="top" wrapText="1"/>
    </xf>
    <xf numFmtId="0" fontId="22" fillId="4" borderId="7" xfId="0" applyFont="1" applyFill="1" applyBorder="1" applyAlignment="1">
      <alignment wrapText="1"/>
    </xf>
    <xf numFmtId="0" fontId="22" fillId="4" borderId="8" xfId="0" applyFont="1" applyFill="1" applyBorder="1" applyAlignment="1">
      <alignment wrapText="1"/>
    </xf>
    <xf numFmtId="164" fontId="13" fillId="4" borderId="25" xfId="0" applyNumberFormat="1" applyFont="1" applyFill="1" applyBorder="1" applyAlignment="1">
      <alignment horizontal="center" wrapText="1"/>
    </xf>
    <xf numFmtId="166" fontId="17" fillId="5" borderId="5" xfId="0" applyNumberFormat="1" applyFont="1" applyFill="1" applyBorder="1" applyAlignment="1">
      <alignment horizontal="center" vertical="center"/>
    </xf>
    <xf numFmtId="2" fontId="25" fillId="0" borderId="0" xfId="0" applyNumberFormat="1" applyFont="1"/>
    <xf numFmtId="2" fontId="13" fillId="3" borderId="42" xfId="0" applyNumberFormat="1" applyFont="1" applyFill="1" applyBorder="1" applyAlignment="1">
      <alignment horizontal="center"/>
    </xf>
    <xf numFmtId="2" fontId="23" fillId="4" borderId="7" xfId="0" applyNumberFormat="1" applyFont="1" applyFill="1" applyBorder="1" applyAlignment="1">
      <alignment horizontal="right" wrapText="1"/>
    </xf>
    <xf numFmtId="2" fontId="23" fillId="4" borderId="8" xfId="0" applyNumberFormat="1" applyFont="1" applyFill="1" applyBorder="1" applyAlignment="1">
      <alignment horizontal="right" wrapText="1"/>
    </xf>
    <xf numFmtId="164" fontId="36" fillId="4" borderId="22" xfId="0" applyNumberFormat="1" applyFont="1" applyFill="1" applyBorder="1" applyAlignment="1">
      <alignment horizontal="center" vertical="center"/>
    </xf>
    <xf numFmtId="0" fontId="11" fillId="5" borderId="54" xfId="0" applyFont="1" applyFill="1" applyBorder="1" applyAlignment="1">
      <alignment horizontal="center" vertical="top"/>
    </xf>
    <xf numFmtId="0" fontId="27" fillId="4" borderId="18" xfId="0" applyFont="1" applyFill="1" applyBorder="1" applyAlignment="1">
      <alignment horizontal="center" vertical="top"/>
    </xf>
    <xf numFmtId="164" fontId="36" fillId="4" borderId="39" xfId="0" applyNumberFormat="1" applyFont="1" applyFill="1" applyBorder="1" applyAlignment="1">
      <alignment horizontal="center" vertical="center"/>
    </xf>
    <xf numFmtId="2" fontId="36" fillId="4" borderId="22" xfId="0" applyNumberFormat="1" applyFont="1" applyFill="1" applyBorder="1" applyAlignment="1">
      <alignment horizontal="center" vertical="center"/>
    </xf>
    <xf numFmtId="164" fontId="36" fillId="4" borderId="25" xfId="0" applyNumberFormat="1" applyFont="1" applyFill="1" applyBorder="1" applyAlignment="1">
      <alignment horizontal="center" vertical="center"/>
    </xf>
    <xf numFmtId="164" fontId="36" fillId="4" borderId="7" xfId="0" applyNumberFormat="1" applyFont="1" applyFill="1" applyBorder="1" applyAlignment="1">
      <alignment horizontal="center" vertical="center"/>
    </xf>
    <xf numFmtId="164" fontId="36" fillId="4" borderId="18" xfId="0" applyNumberFormat="1" applyFont="1" applyFill="1" applyBorder="1" applyAlignment="1">
      <alignment horizontal="center" vertical="center"/>
    </xf>
    <xf numFmtId="164" fontId="36" fillId="11" borderId="7" xfId="0" applyNumberFormat="1" applyFont="1" applyFill="1" applyBorder="1" applyAlignment="1">
      <alignment horizontal="center" vertical="center"/>
    </xf>
    <xf numFmtId="164" fontId="36" fillId="12" borderId="7" xfId="0" applyNumberFormat="1" applyFont="1" applyFill="1" applyBorder="1" applyAlignment="1">
      <alignment horizontal="center" vertical="center"/>
    </xf>
    <xf numFmtId="164" fontId="36" fillId="12" borderId="22" xfId="0" applyNumberFormat="1" applyFont="1" applyFill="1" applyBorder="1" applyAlignment="1">
      <alignment horizontal="center" vertical="center"/>
    </xf>
    <xf numFmtId="2" fontId="12" fillId="10" borderId="18" xfId="0" applyNumberFormat="1" applyFont="1" applyFill="1" applyBorder="1" applyAlignment="1">
      <alignment horizontal="center" vertical="center"/>
    </xf>
    <xf numFmtId="164" fontId="36" fillId="11" borderId="18" xfId="0" applyNumberFormat="1" applyFont="1" applyFill="1" applyBorder="1" applyAlignment="1">
      <alignment horizontal="center" vertical="center"/>
    </xf>
    <xf numFmtId="164" fontId="36" fillId="12" borderId="3" xfId="0" applyNumberFormat="1" applyFont="1" applyFill="1" applyBorder="1" applyAlignment="1">
      <alignment horizontal="center" vertical="center"/>
    </xf>
    <xf numFmtId="164" fontId="36" fillId="12" borderId="58" xfId="0" applyNumberFormat="1" applyFont="1" applyFill="1" applyBorder="1" applyAlignment="1">
      <alignment horizontal="center" vertical="center"/>
    </xf>
    <xf numFmtId="164" fontId="36" fillId="12" borderId="32" xfId="0" applyNumberFormat="1" applyFont="1" applyFill="1" applyBorder="1" applyAlignment="1">
      <alignment horizontal="center" vertical="center"/>
    </xf>
    <xf numFmtId="164" fontId="36" fillId="11" borderId="32" xfId="0" applyNumberFormat="1" applyFont="1" applyFill="1" applyBorder="1" applyAlignment="1">
      <alignment horizontal="center" vertical="center"/>
    </xf>
    <xf numFmtId="164" fontId="12" fillId="4" borderId="18" xfId="0" applyNumberFormat="1" applyFont="1" applyFill="1" applyBorder="1" applyAlignment="1">
      <alignment horizontal="center" vertical="center"/>
    </xf>
    <xf numFmtId="0" fontId="25" fillId="0" borderId="58" xfId="0" applyFont="1" applyBorder="1"/>
    <xf numFmtId="0" fontId="42" fillId="0" borderId="58" xfId="0" applyFont="1" applyBorder="1"/>
    <xf numFmtId="0" fontId="45" fillId="0" borderId="58" xfId="0" applyFont="1" applyBorder="1"/>
    <xf numFmtId="0" fontId="38" fillId="0" borderId="0" xfId="0" applyFont="1" applyAlignment="1">
      <alignment horizontal="right"/>
    </xf>
    <xf numFmtId="164" fontId="38" fillId="0" borderId="0" xfId="0" applyNumberFormat="1" applyFont="1" applyAlignment="1">
      <alignment horizontal="center"/>
    </xf>
    <xf numFmtId="9" fontId="38" fillId="0" borderId="0" xfId="0" applyNumberFormat="1" applyFont="1" applyAlignment="1">
      <alignment horizontal="center"/>
    </xf>
    <xf numFmtId="2" fontId="46" fillId="7" borderId="9" xfId="0" applyNumberFormat="1" applyFont="1" applyFill="1" applyBorder="1" applyAlignment="1">
      <alignment horizontal="center"/>
    </xf>
    <xf numFmtId="49" fontId="15" fillId="3" borderId="0" xfId="0" applyNumberFormat="1" applyFont="1" applyFill="1" applyAlignment="1">
      <alignment horizontal="center"/>
    </xf>
    <xf numFmtId="0" fontId="16" fillId="3" borderId="0" xfId="0" applyFont="1" applyFill="1" applyAlignment="1">
      <alignment horizontal="right"/>
    </xf>
    <xf numFmtId="2" fontId="13" fillId="3" borderId="0" xfId="0" applyNumberFormat="1" applyFont="1" applyFill="1" applyAlignment="1">
      <alignment horizontal="center"/>
    </xf>
    <xf numFmtId="164" fontId="13" fillId="3" borderId="0" xfId="0" applyNumberFormat="1" applyFont="1" applyFill="1" applyAlignment="1">
      <alignment horizontal="center"/>
    </xf>
    <xf numFmtId="164" fontId="17" fillId="5" borderId="0" xfId="0" applyNumberFormat="1" applyFont="1" applyFill="1" applyAlignment="1">
      <alignment horizontal="center" vertical="center"/>
    </xf>
    <xf numFmtId="0" fontId="11" fillId="4" borderId="17" xfId="0" applyFont="1" applyFill="1" applyBorder="1" applyAlignment="1">
      <alignment horizontal="right" wrapText="1"/>
    </xf>
    <xf numFmtId="49" fontId="11" fillId="4" borderId="15" xfId="0" applyNumberFormat="1" applyFont="1" applyFill="1" applyBorder="1" applyAlignment="1">
      <alignment wrapText="1"/>
    </xf>
    <xf numFmtId="164" fontId="4" fillId="0" borderId="9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2" fontId="32" fillId="4" borderId="0" xfId="0" applyNumberFormat="1" applyFont="1" applyFill="1" applyAlignment="1">
      <alignment horizontal="center"/>
    </xf>
    <xf numFmtId="164" fontId="36" fillId="14" borderId="20" xfId="0" applyNumberFormat="1" applyFont="1" applyFill="1" applyBorder="1" applyAlignment="1">
      <alignment horizontal="center"/>
    </xf>
    <xf numFmtId="0" fontId="25" fillId="7" borderId="0" xfId="0" applyFont="1" applyFill="1"/>
    <xf numFmtId="0" fontId="25" fillId="0" borderId="7" xfId="0" applyFont="1" applyBorder="1"/>
    <xf numFmtId="0" fontId="11" fillId="5" borderId="55" xfId="0" applyFont="1" applyFill="1" applyBorder="1" applyAlignment="1">
      <alignment horizontal="center" vertical="top"/>
    </xf>
    <xf numFmtId="0" fontId="27" fillId="4" borderId="79" xfId="0" applyFont="1" applyFill="1" applyBorder="1" applyAlignment="1">
      <alignment horizontal="center" vertical="top"/>
    </xf>
    <xf numFmtId="164" fontId="36" fillId="4" borderId="82" xfId="0" applyNumberFormat="1" applyFont="1" applyFill="1" applyBorder="1" applyAlignment="1">
      <alignment horizontal="center" vertical="center"/>
    </xf>
    <xf numFmtId="2" fontId="36" fillId="4" borderId="78" xfId="0" applyNumberFormat="1" applyFont="1" applyFill="1" applyBorder="1" applyAlignment="1">
      <alignment horizontal="center" vertical="center"/>
    </xf>
    <xf numFmtId="2" fontId="36" fillId="4" borderId="66" xfId="0" applyNumberFormat="1" applyFont="1" applyFill="1" applyBorder="1" applyAlignment="1">
      <alignment horizontal="center" vertical="center"/>
    </xf>
    <xf numFmtId="164" fontId="36" fillId="14" borderId="21" xfId="0" applyNumberFormat="1" applyFont="1" applyFill="1" applyBorder="1" applyAlignment="1">
      <alignment horizontal="center"/>
    </xf>
    <xf numFmtId="164" fontId="38" fillId="0" borderId="20" xfId="0" applyNumberFormat="1" applyFont="1" applyBorder="1" applyAlignment="1">
      <alignment horizontal="center" vertical="center"/>
    </xf>
    <xf numFmtId="164" fontId="38" fillId="0" borderId="40" xfId="0" applyNumberFormat="1" applyFont="1" applyBorder="1" applyAlignment="1">
      <alignment horizontal="center" vertical="center"/>
    </xf>
    <xf numFmtId="0" fontId="0" fillId="8" borderId="5" xfId="0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9" fontId="38" fillId="0" borderId="20" xfId="0" applyNumberFormat="1" applyFont="1" applyBorder="1" applyAlignment="1">
      <alignment horizontal="center" vertical="center"/>
    </xf>
    <xf numFmtId="9" fontId="38" fillId="0" borderId="9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right" wrapText="1"/>
    </xf>
    <xf numFmtId="164" fontId="38" fillId="4" borderId="0" xfId="0" applyNumberFormat="1" applyFont="1" applyFill="1" applyAlignment="1">
      <alignment horizontal="center"/>
    </xf>
    <xf numFmtId="0" fontId="1" fillId="0" borderId="83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9" fontId="38" fillId="4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74" xfId="0" applyNumberFormat="1" applyBorder="1" applyAlignment="1">
      <alignment horizontal="center" vertical="center"/>
    </xf>
    <xf numFmtId="164" fontId="38" fillId="0" borderId="61" xfId="0" applyNumberFormat="1" applyFont="1" applyBorder="1" applyAlignment="1">
      <alignment horizontal="center" vertical="center"/>
    </xf>
    <xf numFmtId="9" fontId="38" fillId="0" borderId="61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49" fontId="38" fillId="4" borderId="0" xfId="0" applyNumberFormat="1" applyFont="1" applyFill="1"/>
    <xf numFmtId="164" fontId="38" fillId="0" borderId="9" xfId="0" applyNumberFormat="1" applyFont="1" applyBorder="1" applyAlignment="1">
      <alignment horizontal="center" vertical="center"/>
    </xf>
    <xf numFmtId="0" fontId="0" fillId="6" borderId="28" xfId="0" applyFill="1" applyBorder="1" applyAlignment="1">
      <alignment horizontal="center" vertical="center" wrapText="1"/>
    </xf>
    <xf numFmtId="0" fontId="48" fillId="0" borderId="85" xfId="0" applyFont="1" applyBorder="1" applyAlignment="1">
      <alignment horizontal="center" vertical="center"/>
    </xf>
    <xf numFmtId="0" fontId="38" fillId="0" borderId="72" xfId="0" applyFont="1" applyBorder="1" applyAlignment="1">
      <alignment horizontal="center" vertical="center"/>
    </xf>
    <xf numFmtId="0" fontId="38" fillId="0" borderId="31" xfId="0" applyFon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164" fontId="38" fillId="0" borderId="31" xfId="0" applyNumberFormat="1" applyFont="1" applyBorder="1" applyAlignment="1">
      <alignment horizontal="center" vertical="center"/>
    </xf>
    <xf numFmtId="9" fontId="38" fillId="0" borderId="31" xfId="0" applyNumberFormat="1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38" fillId="0" borderId="74" xfId="0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164" fontId="1" fillId="8" borderId="51" xfId="0" applyNumberFormat="1" applyFont="1" applyFill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 vertical="center"/>
    </xf>
    <xf numFmtId="9" fontId="38" fillId="0" borderId="14" xfId="0" applyNumberFormat="1" applyFont="1" applyBorder="1" applyAlignment="1">
      <alignment horizontal="center" vertical="center"/>
    </xf>
    <xf numFmtId="164" fontId="1" fillId="6" borderId="53" xfId="0" applyNumberFormat="1" applyFont="1" applyFill="1" applyBorder="1" applyAlignment="1">
      <alignment horizontal="center"/>
    </xf>
    <xf numFmtId="0" fontId="38" fillId="0" borderId="24" xfId="0" applyFont="1" applyBorder="1"/>
    <xf numFmtId="164" fontId="38" fillId="0" borderId="14" xfId="0" applyNumberFormat="1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164" fontId="0" fillId="0" borderId="7" xfId="0" applyNumberFormat="1" applyBorder="1" applyAlignment="1">
      <alignment vertical="center"/>
    </xf>
    <xf numFmtId="0" fontId="1" fillId="6" borderId="47" xfId="0" applyFont="1" applyFill="1" applyBorder="1" applyAlignment="1">
      <alignment horizontal="center" vertical="center" wrapText="1"/>
    </xf>
    <xf numFmtId="164" fontId="1" fillId="8" borderId="66" xfId="0" applyNumberFormat="1" applyFont="1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 wrapText="1"/>
    </xf>
    <xf numFmtId="164" fontId="1" fillId="6" borderId="5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61" xfId="0" applyBorder="1" applyAlignment="1">
      <alignment horizontal="center" vertical="center"/>
    </xf>
    <xf numFmtId="49" fontId="0" fillId="0" borderId="74" xfId="0" applyNumberFormat="1" applyBorder="1" applyAlignment="1">
      <alignment horizontal="center"/>
    </xf>
    <xf numFmtId="0" fontId="0" fillId="0" borderId="61" xfId="0" applyBorder="1" applyAlignment="1">
      <alignment horizontal="center"/>
    </xf>
    <xf numFmtId="164" fontId="0" fillId="0" borderId="62" xfId="0" applyNumberFormat="1" applyBorder="1" applyAlignment="1">
      <alignment horizontal="center"/>
    </xf>
    <xf numFmtId="49" fontId="0" fillId="0" borderId="71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64" fontId="1" fillId="13" borderId="5" xfId="0" applyNumberFormat="1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164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 wrapText="1"/>
    </xf>
    <xf numFmtId="0" fontId="38" fillId="3" borderId="0" xfId="0" applyFont="1" applyFill="1"/>
    <xf numFmtId="164" fontId="1" fillId="15" borderId="51" xfId="0" applyNumberFormat="1" applyFont="1" applyFill="1" applyBorder="1" applyAlignment="1">
      <alignment horizontal="center"/>
    </xf>
    <xf numFmtId="164" fontId="1" fillId="15" borderId="66" xfId="0" applyNumberFormat="1" applyFont="1" applyFill="1" applyBorder="1" applyAlignment="1">
      <alignment horizontal="center" vertical="center"/>
    </xf>
    <xf numFmtId="0" fontId="10" fillId="0" borderId="46" xfId="0" applyFont="1" applyBorder="1" applyAlignment="1">
      <alignment horizontal="left"/>
    </xf>
    <xf numFmtId="0" fontId="10" fillId="0" borderId="46" xfId="0" applyFont="1" applyBorder="1"/>
    <xf numFmtId="0" fontId="0" fillId="0" borderId="47" xfId="0" applyBorder="1"/>
    <xf numFmtId="0" fontId="0" fillId="8" borderId="9" xfId="0" applyFill="1" applyBorder="1" applyAlignment="1">
      <alignment horizontal="center"/>
    </xf>
    <xf numFmtId="164" fontId="0" fillId="8" borderId="9" xfId="0" applyNumberFormat="1" applyFill="1" applyBorder="1" applyAlignment="1">
      <alignment horizontal="center"/>
    </xf>
    <xf numFmtId="49" fontId="0" fillId="8" borderId="71" xfId="0" applyNumberFormat="1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164" fontId="0" fillId="8" borderId="34" xfId="0" applyNumberFormat="1" applyFill="1" applyBorder="1" applyAlignment="1">
      <alignment horizontal="center"/>
    </xf>
    <xf numFmtId="49" fontId="0" fillId="8" borderId="9" xfId="0" applyNumberFormat="1" applyFill="1" applyBorder="1" applyAlignment="1">
      <alignment horizontal="center"/>
    </xf>
    <xf numFmtId="164" fontId="0" fillId="8" borderId="20" xfId="0" applyNumberFormat="1" applyFill="1" applyBorder="1" applyAlignment="1">
      <alignment horizontal="center"/>
    </xf>
    <xf numFmtId="49" fontId="27" fillId="4" borderId="53" xfId="0" applyNumberFormat="1" applyFont="1" applyFill="1" applyBorder="1" applyAlignment="1">
      <alignment horizontal="center"/>
    </xf>
    <xf numFmtId="49" fontId="27" fillId="4" borderId="30" xfId="0" applyNumberFormat="1" applyFont="1" applyFill="1" applyBorder="1" applyAlignment="1">
      <alignment horizontal="center"/>
    </xf>
    <xf numFmtId="164" fontId="33" fillId="4" borderId="52" xfId="0" applyNumberFormat="1" applyFont="1" applyFill="1" applyBorder="1" applyAlignment="1">
      <alignment horizontal="center" vertical="center"/>
    </xf>
    <xf numFmtId="10" fontId="32" fillId="4" borderId="20" xfId="0" applyNumberFormat="1" applyFont="1" applyFill="1" applyBorder="1" applyAlignment="1">
      <alignment horizontal="center"/>
    </xf>
    <xf numFmtId="0" fontId="9" fillId="2" borderId="58" xfId="0" applyFont="1" applyFill="1" applyBorder="1" applyAlignment="1">
      <alignment horizontal="left"/>
    </xf>
    <xf numFmtId="0" fontId="9" fillId="2" borderId="59" xfId="0" applyFont="1" applyFill="1" applyBorder="1" applyAlignment="1">
      <alignment horizontal="left"/>
    </xf>
    <xf numFmtId="0" fontId="8" fillId="2" borderId="0" xfId="0" applyFont="1" applyFill="1" applyAlignment="1">
      <alignment horizontal="center"/>
    </xf>
    <xf numFmtId="0" fontId="1" fillId="17" borderId="5" xfId="0" applyFont="1" applyFill="1" applyBorder="1" applyAlignment="1">
      <alignment horizontal="center"/>
    </xf>
    <xf numFmtId="0" fontId="10" fillId="4" borderId="0" xfId="0" applyFont="1" applyFill="1"/>
    <xf numFmtId="0" fontId="1" fillId="11" borderId="5" xfId="0" applyFont="1" applyFill="1" applyBorder="1" applyAlignment="1">
      <alignment horizontal="center"/>
    </xf>
    <xf numFmtId="164" fontId="1" fillId="11" borderId="5" xfId="0" applyNumberFormat="1" applyFont="1" applyFill="1" applyBorder="1" applyAlignment="1">
      <alignment horizontal="center"/>
    </xf>
    <xf numFmtId="49" fontId="31" fillId="3" borderId="46" xfId="0" applyNumberFormat="1" applyFont="1" applyFill="1" applyBorder="1" applyAlignment="1">
      <alignment horizontal="center"/>
    </xf>
    <xf numFmtId="0" fontId="34" fillId="3" borderId="46" xfId="0" applyFont="1" applyFill="1" applyBorder="1" applyAlignment="1">
      <alignment horizontal="right"/>
    </xf>
    <xf numFmtId="0" fontId="27" fillId="3" borderId="46" xfId="0" applyFont="1" applyFill="1" applyBorder="1" applyAlignment="1">
      <alignment horizontal="center"/>
    </xf>
    <xf numFmtId="2" fontId="29" fillId="3" borderId="46" xfId="0" applyNumberFormat="1" applyFont="1" applyFill="1" applyBorder="1" applyAlignment="1">
      <alignment horizontal="center"/>
    </xf>
    <xf numFmtId="164" fontId="35" fillId="5" borderId="46" xfId="0" applyNumberFormat="1" applyFont="1" applyFill="1" applyBorder="1" applyAlignment="1">
      <alignment horizontal="center" vertical="center"/>
    </xf>
    <xf numFmtId="14" fontId="9" fillId="4" borderId="0" xfId="0" applyNumberFormat="1" applyFont="1" applyFill="1"/>
    <xf numFmtId="0" fontId="9" fillId="20" borderId="0" xfId="0" applyFont="1" applyFill="1" applyAlignment="1">
      <alignment horizontal="center"/>
    </xf>
    <xf numFmtId="0" fontId="9" fillId="20" borderId="0" xfId="0" applyFont="1" applyFill="1" applyAlignment="1">
      <alignment horizontal="left"/>
    </xf>
    <xf numFmtId="0" fontId="8" fillId="20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0" xfId="0" applyFont="1" applyFill="1" applyAlignment="1">
      <alignment horizontal="left"/>
    </xf>
    <xf numFmtId="0" fontId="7" fillId="4" borderId="0" xfId="0" applyFont="1" applyFill="1"/>
    <xf numFmtId="0" fontId="10" fillId="4" borderId="0" xfId="0" applyFont="1" applyFill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8" xfId="0" applyBorder="1" applyAlignment="1">
      <alignment horizontal="left"/>
    </xf>
    <xf numFmtId="0" fontId="1" fillId="4" borderId="0" xfId="0" applyFont="1" applyFill="1"/>
    <xf numFmtId="0" fontId="11" fillId="5" borderId="11" xfId="0" applyFont="1" applyFill="1" applyBorder="1" applyAlignment="1">
      <alignment horizontal="center" vertical="top" wrapText="1"/>
    </xf>
    <xf numFmtId="0" fontId="11" fillId="4" borderId="18" xfId="0" applyFont="1" applyFill="1" applyBorder="1" applyAlignment="1">
      <alignment horizontal="center" vertical="top"/>
    </xf>
    <xf numFmtId="0" fontId="11" fillId="4" borderId="79" xfId="0" applyFont="1" applyFill="1" applyBorder="1" applyAlignment="1">
      <alignment horizontal="center" vertical="top"/>
    </xf>
    <xf numFmtId="0" fontId="11" fillId="7" borderId="8" xfId="0" applyFont="1" applyFill="1" applyBorder="1" applyAlignment="1">
      <alignment wrapText="1"/>
    </xf>
    <xf numFmtId="164" fontId="36" fillId="4" borderId="89" xfId="0" applyNumberFormat="1" applyFont="1" applyFill="1" applyBorder="1" applyAlignment="1">
      <alignment horizontal="center" vertical="center"/>
    </xf>
    <xf numFmtId="164" fontId="36" fillId="4" borderId="78" xfId="0" applyNumberFormat="1" applyFont="1" applyFill="1" applyBorder="1" applyAlignment="1">
      <alignment horizontal="center" vertical="center"/>
    </xf>
    <xf numFmtId="164" fontId="36" fillId="7" borderId="40" xfId="0" applyNumberFormat="1" applyFont="1" applyFill="1" applyBorder="1" applyAlignment="1">
      <alignment horizontal="center"/>
    </xf>
    <xf numFmtId="164" fontId="36" fillId="3" borderId="19" xfId="0" applyNumberFormat="1" applyFont="1" applyFill="1" applyBorder="1" applyAlignment="1">
      <alignment horizontal="center"/>
    </xf>
    <xf numFmtId="164" fontId="36" fillId="7" borderId="19" xfId="0" applyNumberFormat="1" applyFont="1" applyFill="1" applyBorder="1" applyAlignment="1">
      <alignment horizontal="center"/>
    </xf>
    <xf numFmtId="2" fontId="36" fillId="7" borderId="19" xfId="0" applyNumberFormat="1" applyFont="1" applyFill="1" applyBorder="1" applyAlignment="1">
      <alignment horizontal="center"/>
    </xf>
    <xf numFmtId="2" fontId="36" fillId="4" borderId="68" xfId="0" applyNumberFormat="1" applyFont="1" applyFill="1" applyBorder="1" applyAlignment="1">
      <alignment horizontal="center" vertical="center"/>
    </xf>
    <xf numFmtId="2" fontId="36" fillId="4" borderId="25" xfId="0" applyNumberFormat="1" applyFont="1" applyFill="1" applyBorder="1" applyAlignment="1">
      <alignment horizontal="center" vertical="center"/>
    </xf>
    <xf numFmtId="49" fontId="11" fillId="11" borderId="34" xfId="0" applyNumberFormat="1" applyFont="1" applyFill="1" applyBorder="1" applyAlignment="1">
      <alignment horizontal="center"/>
    </xf>
    <xf numFmtId="0" fontId="11" fillId="12" borderId="4" xfId="0" applyFont="1" applyFill="1" applyBorder="1"/>
    <xf numFmtId="49" fontId="11" fillId="12" borderId="68" xfId="0" applyNumberFormat="1" applyFont="1" applyFill="1" applyBorder="1" applyAlignment="1">
      <alignment horizontal="center"/>
    </xf>
    <xf numFmtId="49" fontId="11" fillId="10" borderId="68" xfId="0" applyNumberFormat="1" applyFont="1" applyFill="1" applyBorder="1" applyAlignment="1">
      <alignment horizontal="center"/>
    </xf>
    <xf numFmtId="49" fontId="11" fillId="12" borderId="35" xfId="0" applyNumberFormat="1" applyFont="1" applyFill="1" applyBorder="1" applyAlignment="1">
      <alignment horizontal="center"/>
    </xf>
    <xf numFmtId="10" fontId="36" fillId="12" borderId="35" xfId="0" applyNumberFormat="1" applyFont="1" applyFill="1" applyBorder="1" applyAlignment="1">
      <alignment horizontal="center" vertical="center"/>
    </xf>
    <xf numFmtId="49" fontId="11" fillId="11" borderId="33" xfId="0" applyNumberFormat="1" applyFont="1" applyFill="1" applyBorder="1" applyAlignment="1">
      <alignment horizontal="center"/>
    </xf>
    <xf numFmtId="49" fontId="11" fillId="11" borderId="77" xfId="0" applyNumberFormat="1" applyFont="1" applyFill="1" applyBorder="1" applyAlignment="1">
      <alignment horizontal="center"/>
    </xf>
    <xf numFmtId="0" fontId="11" fillId="7" borderId="12" xfId="0" applyFont="1" applyFill="1" applyBorder="1" applyAlignment="1">
      <alignment horizontal="right"/>
    </xf>
    <xf numFmtId="0" fontId="15" fillId="7" borderId="13" xfId="0" applyFont="1" applyFill="1" applyBorder="1" applyAlignment="1">
      <alignment horizontal="right"/>
    </xf>
    <xf numFmtId="0" fontId="34" fillId="3" borderId="0" xfId="0" applyFont="1" applyFill="1" applyAlignment="1">
      <alignment horizontal="right"/>
    </xf>
    <xf numFmtId="164" fontId="35" fillId="5" borderId="0" xfId="0" applyNumberFormat="1" applyFont="1" applyFill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1" fillId="11" borderId="1" xfId="0" applyFont="1" applyFill="1" applyBorder="1" applyAlignment="1">
      <alignment horizontal="center"/>
    </xf>
    <xf numFmtId="0" fontId="1" fillId="11" borderId="6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0" xfId="0" applyAlignment="1">
      <alignment horizontal="left"/>
    </xf>
    <xf numFmtId="0" fontId="0" fillId="8" borderId="18" xfId="0" applyFill="1" applyBorder="1" applyAlignment="1">
      <alignment horizontal="left"/>
    </xf>
    <xf numFmtId="0" fontId="0" fillId="8" borderId="12" xfId="0" applyFill="1" applyBorder="1" applyAlignment="1">
      <alignment horizontal="left"/>
    </xf>
    <xf numFmtId="0" fontId="0" fillId="8" borderId="13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8" borderId="7" xfId="0" applyFill="1" applyBorder="1" applyAlignment="1">
      <alignment horizontal="left"/>
    </xf>
    <xf numFmtId="0" fontId="0" fillId="8" borderId="4" xfId="0" applyFill="1" applyBorder="1" applyAlignment="1">
      <alignment horizontal="left"/>
    </xf>
    <xf numFmtId="0" fontId="0" fillId="8" borderId="8" xfId="0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2" fontId="1" fillId="11" borderId="1" xfId="0" applyNumberFormat="1" applyFont="1" applyFill="1" applyBorder="1" applyAlignment="1">
      <alignment horizontal="center"/>
    </xf>
    <xf numFmtId="2" fontId="1" fillId="11" borderId="6" xfId="0" applyNumberFormat="1" applyFont="1" applyFill="1" applyBorder="1" applyAlignment="1">
      <alignment horizontal="center"/>
    </xf>
    <xf numFmtId="2" fontId="1" fillId="11" borderId="2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3" borderId="6" xfId="0" applyNumberFormat="1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0" fillId="8" borderId="20" xfId="0" applyFill="1" applyBorder="1" applyAlignment="1">
      <alignment horizontal="left"/>
    </xf>
    <xf numFmtId="0" fontId="0" fillId="0" borderId="20" xfId="0" applyBorder="1" applyAlignment="1">
      <alignment horizontal="left" wrapText="1"/>
    </xf>
    <xf numFmtId="2" fontId="1" fillId="17" borderId="1" xfId="0" applyNumberFormat="1" applyFont="1" applyFill="1" applyBorder="1" applyAlignment="1">
      <alignment horizontal="center"/>
    </xf>
    <xf numFmtId="2" fontId="1" fillId="17" borderId="6" xfId="0" applyNumberFormat="1" applyFont="1" applyFill="1" applyBorder="1" applyAlignment="1">
      <alignment horizontal="center"/>
    </xf>
    <xf numFmtId="2" fontId="1" fillId="17" borderId="2" xfId="0" applyNumberFormat="1" applyFont="1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49" fontId="0" fillId="0" borderId="7" xfId="0" applyNumberFormat="1" applyBorder="1" applyAlignment="1">
      <alignment horizontal="left"/>
    </xf>
    <xf numFmtId="49" fontId="0" fillId="0" borderId="4" xfId="0" applyNumberFormat="1" applyBorder="1" applyAlignment="1">
      <alignment horizontal="left"/>
    </xf>
    <xf numFmtId="49" fontId="0" fillId="0" borderId="8" xfId="0" applyNumberFormat="1" applyBorder="1" applyAlignment="1">
      <alignment horizontal="left"/>
    </xf>
    <xf numFmtId="0" fontId="7" fillId="4" borderId="0" xfId="0" applyFont="1" applyFill="1" applyAlignment="1">
      <alignment horizontal="left"/>
    </xf>
    <xf numFmtId="0" fontId="10" fillId="4" borderId="0" xfId="0" applyFont="1" applyFill="1" applyAlignment="1">
      <alignment horizontal="left"/>
    </xf>
    <xf numFmtId="0" fontId="1" fillId="3" borderId="45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49" fontId="0" fillId="0" borderId="39" xfId="0" applyNumberFormat="1" applyBorder="1" applyAlignment="1">
      <alignment horizontal="left"/>
    </xf>
    <xf numFmtId="49" fontId="0" fillId="0" borderId="48" xfId="0" applyNumberFormat="1" applyBorder="1" applyAlignment="1">
      <alignment horizontal="left"/>
    </xf>
    <xf numFmtId="49" fontId="0" fillId="0" borderId="38" xfId="0" applyNumberFormat="1" applyBorder="1" applyAlignment="1">
      <alignment horizontal="left"/>
    </xf>
    <xf numFmtId="49" fontId="0" fillId="0" borderId="7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49" fontId="0" fillId="0" borderId="8" xfId="0" applyNumberFormat="1" applyBorder="1" applyAlignment="1">
      <alignment horizontal="left" wrapText="1"/>
    </xf>
    <xf numFmtId="0" fontId="1" fillId="3" borderId="4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50" xfId="0" applyFont="1" applyFill="1" applyBorder="1" applyAlignment="1">
      <alignment horizontal="center"/>
    </xf>
    <xf numFmtId="0" fontId="47" fillId="2" borderId="45" xfId="0" applyFont="1" applyFill="1" applyBorder="1" applyAlignment="1">
      <alignment horizontal="left"/>
    </xf>
    <xf numFmtId="0" fontId="47" fillId="2" borderId="46" xfId="0" applyFont="1" applyFill="1" applyBorder="1" applyAlignment="1">
      <alignment horizontal="left"/>
    </xf>
    <xf numFmtId="0" fontId="9" fillId="2" borderId="58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59" xfId="0" applyFont="1" applyFill="1" applyBorder="1" applyAlignment="1">
      <alignment horizontal="left"/>
    </xf>
    <xf numFmtId="14" fontId="9" fillId="0" borderId="1" xfId="0" applyNumberFormat="1" applyFont="1" applyBorder="1" applyAlignment="1">
      <alignment horizontal="left"/>
    </xf>
    <xf numFmtId="14" fontId="9" fillId="0" borderId="6" xfId="0" applyNumberFormat="1" applyFont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0" fontId="9" fillId="0" borderId="0" xfId="0" applyFont="1" applyAlignment="1">
      <alignment horizontal="center"/>
    </xf>
    <xf numFmtId="14" fontId="9" fillId="0" borderId="3" xfId="0" applyNumberFormat="1" applyFont="1" applyBorder="1" applyAlignment="1">
      <alignment horizontal="center"/>
    </xf>
    <xf numFmtId="14" fontId="9" fillId="0" borderId="4" xfId="0" applyNumberFormat="1" applyFont="1" applyBorder="1" applyAlignment="1">
      <alignment horizontal="center"/>
    </xf>
    <xf numFmtId="14" fontId="9" fillId="0" borderId="60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0" fillId="0" borderId="5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9" fillId="2" borderId="53" xfId="0" applyFont="1" applyFill="1" applyBorder="1" applyAlignment="1">
      <alignment horizontal="left"/>
    </xf>
    <xf numFmtId="0" fontId="9" fillId="2" borderId="24" xfId="0" applyFont="1" applyFill="1" applyBorder="1" applyAlignment="1">
      <alignment horizontal="left"/>
    </xf>
    <xf numFmtId="0" fontId="9" fillId="2" borderId="52" xfId="0" applyFont="1" applyFill="1" applyBorder="1" applyAlignment="1">
      <alignment horizontal="left"/>
    </xf>
    <xf numFmtId="0" fontId="8" fillId="18" borderId="1" xfId="0" applyFont="1" applyFill="1" applyBorder="1" applyAlignment="1">
      <alignment horizontal="left"/>
    </xf>
    <xf numFmtId="0" fontId="8" fillId="18" borderId="6" xfId="0" applyFont="1" applyFill="1" applyBorder="1" applyAlignment="1">
      <alignment horizontal="left"/>
    </xf>
    <xf numFmtId="0" fontId="8" fillId="18" borderId="2" xfId="0" applyFont="1" applyFill="1" applyBorder="1" applyAlignment="1">
      <alignment horizontal="left"/>
    </xf>
    <xf numFmtId="0" fontId="8" fillId="16" borderId="1" xfId="0" applyFont="1" applyFill="1" applyBorder="1" applyAlignment="1">
      <alignment horizontal="left"/>
    </xf>
    <xf numFmtId="0" fontId="8" fillId="16" borderId="6" xfId="0" applyFont="1" applyFill="1" applyBorder="1" applyAlignment="1">
      <alignment horizontal="left"/>
    </xf>
    <xf numFmtId="0" fontId="8" fillId="16" borderId="2" xfId="0" applyFont="1" applyFill="1" applyBorder="1" applyAlignment="1">
      <alignment horizontal="left"/>
    </xf>
    <xf numFmtId="0" fontId="8" fillId="19" borderId="1" xfId="0" applyFont="1" applyFill="1" applyBorder="1" applyAlignment="1">
      <alignment horizontal="left"/>
    </xf>
    <xf numFmtId="0" fontId="8" fillId="19" borderId="6" xfId="0" applyFont="1" applyFill="1" applyBorder="1" applyAlignment="1">
      <alignment horizontal="left"/>
    </xf>
    <xf numFmtId="0" fontId="8" fillId="19" borderId="2" xfId="0" applyFont="1" applyFill="1" applyBorder="1" applyAlignment="1">
      <alignment horizontal="left"/>
    </xf>
    <xf numFmtId="0" fontId="0" fillId="0" borderId="57" xfId="0" applyBorder="1" applyAlignment="1">
      <alignment horizontal="left"/>
    </xf>
    <xf numFmtId="2" fontId="1" fillId="8" borderId="1" xfId="0" applyNumberFormat="1" applyFont="1" applyFill="1" applyBorder="1" applyAlignment="1">
      <alignment horizontal="center"/>
    </xf>
    <xf numFmtId="2" fontId="1" fillId="8" borderId="6" xfId="0" applyNumberFormat="1" applyFont="1" applyFill="1" applyBorder="1" applyAlignment="1">
      <alignment horizontal="center"/>
    </xf>
    <xf numFmtId="2" fontId="1" fillId="8" borderId="2" xfId="0" applyNumberFormat="1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vertical="top"/>
    </xf>
    <xf numFmtId="0" fontId="11" fillId="5" borderId="2" xfId="0" applyFont="1" applyFill="1" applyBorder="1" applyAlignment="1">
      <alignment horizontal="center" vertical="top"/>
    </xf>
    <xf numFmtId="49" fontId="11" fillId="6" borderId="49" xfId="0" applyNumberFormat="1" applyFont="1" applyFill="1" applyBorder="1" applyAlignment="1">
      <alignment horizontal="center"/>
    </xf>
    <xf numFmtId="49" fontId="11" fillId="6" borderId="11" xfId="0" applyNumberFormat="1" applyFont="1" applyFill="1" applyBorder="1" applyAlignment="1">
      <alignment horizontal="center"/>
    </xf>
    <xf numFmtId="2" fontId="23" fillId="3" borderId="54" xfId="0" applyNumberFormat="1" applyFont="1" applyFill="1" applyBorder="1" applyAlignment="1">
      <alignment horizontal="center" wrapText="1"/>
    </xf>
    <xf numFmtId="2" fontId="23" fillId="3" borderId="11" xfId="0" applyNumberFormat="1" applyFont="1" applyFill="1" applyBorder="1" applyAlignment="1">
      <alignment horizontal="center" wrapText="1"/>
    </xf>
    <xf numFmtId="49" fontId="11" fillId="4" borderId="32" xfId="0" applyNumberFormat="1" applyFont="1" applyFill="1" applyBorder="1" applyAlignment="1">
      <alignment horizontal="center"/>
    </xf>
    <xf numFmtId="49" fontId="11" fillId="4" borderId="13" xfId="0" applyNumberFormat="1" applyFont="1" applyFill="1" applyBorder="1" applyAlignment="1">
      <alignment horizontal="center"/>
    </xf>
    <xf numFmtId="0" fontId="15" fillId="4" borderId="7" xfId="0" applyFont="1" applyFill="1" applyBorder="1" applyAlignment="1">
      <alignment horizontal="right"/>
    </xf>
    <xf numFmtId="0" fontId="11" fillId="4" borderId="8" xfId="0" applyFont="1" applyFill="1" applyBorder="1" applyAlignment="1">
      <alignment horizontal="right"/>
    </xf>
    <xf numFmtId="2" fontId="11" fillId="4" borderId="7" xfId="0" applyNumberFormat="1" applyFont="1" applyFill="1" applyBorder="1" applyAlignment="1">
      <alignment horizontal="right" wrapText="1"/>
    </xf>
    <xf numFmtId="2" fontId="11" fillId="4" borderId="8" xfId="0" applyNumberFormat="1" applyFont="1" applyFill="1" applyBorder="1" applyAlignment="1">
      <alignment horizontal="right" wrapText="1"/>
    </xf>
    <xf numFmtId="49" fontId="15" fillId="3" borderId="1" xfId="0" applyNumberFormat="1" applyFont="1" applyFill="1" applyBorder="1" applyAlignment="1">
      <alignment horizontal="center"/>
    </xf>
    <xf numFmtId="49" fontId="15" fillId="3" borderId="41" xfId="0" applyNumberFormat="1" applyFont="1" applyFill="1" applyBorder="1" applyAlignment="1">
      <alignment horizontal="center"/>
    </xf>
    <xf numFmtId="0" fontId="16" fillId="3" borderId="42" xfId="0" applyFont="1" applyFill="1" applyBorder="1" applyAlignment="1">
      <alignment horizontal="right"/>
    </xf>
    <xf numFmtId="0" fontId="16" fillId="3" borderId="41" xfId="0" applyFont="1" applyFill="1" applyBorder="1" applyAlignment="1">
      <alignment horizontal="right"/>
    </xf>
    <xf numFmtId="49" fontId="27" fillId="4" borderId="32" xfId="0" applyNumberFormat="1" applyFont="1" applyFill="1" applyBorder="1" applyAlignment="1">
      <alignment horizontal="center"/>
    </xf>
    <xf numFmtId="49" fontId="27" fillId="4" borderId="13" xfId="0" applyNumberFormat="1" applyFont="1" applyFill="1" applyBorder="1" applyAlignment="1">
      <alignment horizontal="center"/>
    </xf>
    <xf numFmtId="0" fontId="31" fillId="4" borderId="18" xfId="0" applyFont="1" applyFill="1" applyBorder="1" applyAlignment="1">
      <alignment horizontal="right"/>
    </xf>
    <xf numFmtId="0" fontId="31" fillId="4" borderId="13" xfId="0" applyFont="1" applyFill="1" applyBorder="1" applyAlignment="1">
      <alignment horizontal="right"/>
    </xf>
    <xf numFmtId="49" fontId="27" fillId="4" borderId="37" xfId="0" applyNumberFormat="1" applyFont="1" applyFill="1" applyBorder="1" applyAlignment="1">
      <alignment horizontal="center"/>
    </xf>
    <xf numFmtId="49" fontId="27" fillId="4" borderId="38" xfId="0" applyNumberFormat="1" applyFont="1" applyFill="1" applyBorder="1" applyAlignment="1">
      <alignment horizontal="center"/>
    </xf>
    <xf numFmtId="0" fontId="27" fillId="4" borderId="39" xfId="0" applyFont="1" applyFill="1" applyBorder="1" applyAlignment="1">
      <alignment horizontal="right"/>
    </xf>
    <xf numFmtId="0" fontId="27" fillId="4" borderId="38" xfId="0" applyFont="1" applyFill="1" applyBorder="1" applyAlignment="1">
      <alignment horizontal="right"/>
    </xf>
    <xf numFmtId="49" fontId="31" fillId="3" borderId="1" xfId="0" applyNumberFormat="1" applyFont="1" applyFill="1" applyBorder="1" applyAlignment="1">
      <alignment horizontal="center"/>
    </xf>
    <xf numFmtId="49" fontId="31" fillId="3" borderId="41" xfId="0" applyNumberFormat="1" applyFont="1" applyFill="1" applyBorder="1" applyAlignment="1">
      <alignment horizontal="center"/>
    </xf>
    <xf numFmtId="0" fontId="34" fillId="3" borderId="42" xfId="0" applyFont="1" applyFill="1" applyBorder="1" applyAlignment="1">
      <alignment horizontal="right"/>
    </xf>
    <xf numFmtId="0" fontId="34" fillId="3" borderId="41" xfId="0" applyFont="1" applyFill="1" applyBorder="1" applyAlignment="1">
      <alignment horizontal="right"/>
    </xf>
    <xf numFmtId="0" fontId="26" fillId="3" borderId="1" xfId="0" applyFont="1" applyFill="1" applyBorder="1" applyAlignment="1">
      <alignment horizontal="center"/>
    </xf>
    <xf numFmtId="0" fontId="26" fillId="3" borderId="6" xfId="0" applyFont="1" applyFill="1" applyBorder="1" applyAlignment="1">
      <alignment horizontal="center"/>
    </xf>
    <xf numFmtId="0" fontId="26" fillId="3" borderId="2" xfId="0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 vertical="top" wrapText="1"/>
    </xf>
    <xf numFmtId="0" fontId="25" fillId="5" borderId="52" xfId="0" applyFont="1" applyFill="1" applyBorder="1" applyAlignment="1">
      <alignment horizontal="center" wrapText="1"/>
    </xf>
    <xf numFmtId="49" fontId="11" fillId="5" borderId="49" xfId="0" applyNumberFormat="1" applyFont="1" applyFill="1" applyBorder="1" applyAlignment="1">
      <alignment horizontal="center"/>
    </xf>
    <xf numFmtId="49" fontId="27" fillId="5" borderId="11" xfId="0" applyNumberFormat="1" applyFont="1" applyFill="1" applyBorder="1" applyAlignment="1">
      <alignment horizontal="center"/>
    </xf>
    <xf numFmtId="0" fontId="27" fillId="4" borderId="18" xfId="0" applyFont="1" applyFill="1" applyBorder="1" applyAlignment="1">
      <alignment horizontal="right"/>
    </xf>
    <xf numFmtId="0" fontId="27" fillId="4" borderId="13" xfId="0" applyFont="1" applyFill="1" applyBorder="1" applyAlignment="1">
      <alignment horizontal="right"/>
    </xf>
    <xf numFmtId="0" fontId="11" fillId="4" borderId="7" xfId="0" applyFont="1" applyFill="1" applyBorder="1" applyAlignment="1">
      <alignment horizontal="right" wrapText="1"/>
    </xf>
    <xf numFmtId="0" fontId="11" fillId="4" borderId="8" xfId="0" applyFont="1" applyFill="1" applyBorder="1" applyAlignment="1">
      <alignment horizontal="right" wrapText="1"/>
    </xf>
    <xf numFmtId="0" fontId="16" fillId="4" borderId="15" xfId="0" applyFont="1" applyFill="1" applyBorder="1" applyAlignment="1">
      <alignment horizontal="right"/>
    </xf>
    <xf numFmtId="0" fontId="16" fillId="4" borderId="17" xfId="0" applyFont="1" applyFill="1" applyBorder="1" applyAlignment="1">
      <alignment horizontal="right"/>
    </xf>
    <xf numFmtId="0" fontId="27" fillId="5" borderId="1" xfId="0" applyFont="1" applyFill="1" applyBorder="1" applyAlignment="1">
      <alignment horizontal="center" vertical="top"/>
    </xf>
    <xf numFmtId="0" fontId="25" fillId="5" borderId="6" xfId="0" applyFont="1" applyFill="1" applyBorder="1" applyAlignment="1">
      <alignment horizontal="center"/>
    </xf>
    <xf numFmtId="0" fontId="28" fillId="5" borderId="54" xfId="0" applyFont="1" applyFill="1" applyBorder="1" applyAlignment="1">
      <alignment horizontal="center" wrapText="1"/>
    </xf>
    <xf numFmtId="0" fontId="28" fillId="5" borderId="11" xfId="0" applyFont="1" applyFill="1" applyBorder="1" applyAlignment="1">
      <alignment horizontal="center" wrapText="1"/>
    </xf>
    <xf numFmtId="0" fontId="31" fillId="4" borderId="7" xfId="0" applyFont="1" applyFill="1" applyBorder="1" applyAlignment="1">
      <alignment horizontal="right" wrapText="1"/>
    </xf>
    <xf numFmtId="0" fontId="34" fillId="4" borderId="8" xfId="0" applyFont="1" applyFill="1" applyBorder="1" applyAlignment="1">
      <alignment horizontal="right" wrapText="1"/>
    </xf>
    <xf numFmtId="0" fontId="27" fillId="4" borderId="18" xfId="0" applyFont="1" applyFill="1" applyBorder="1" applyAlignment="1">
      <alignment horizontal="right" wrapText="1"/>
    </xf>
    <xf numFmtId="0" fontId="27" fillId="4" borderId="13" xfId="0" applyFont="1" applyFill="1" applyBorder="1" applyAlignment="1">
      <alignment horizontal="right" wrapText="1"/>
    </xf>
    <xf numFmtId="0" fontId="11" fillId="4" borderId="18" xfId="0" applyFont="1" applyFill="1" applyBorder="1" applyAlignment="1">
      <alignment horizontal="right"/>
    </xf>
    <xf numFmtId="0" fontId="11" fillId="4" borderId="18" xfId="0" applyFont="1" applyFill="1" applyBorder="1" applyAlignment="1">
      <alignment horizontal="right" wrapText="1"/>
    </xf>
    <xf numFmtId="0" fontId="11" fillId="5" borderId="2" xfId="0" applyFont="1" applyFill="1" applyBorder="1" applyAlignment="1">
      <alignment horizontal="center" vertical="top" wrapText="1"/>
    </xf>
    <xf numFmtId="49" fontId="11" fillId="5" borderId="11" xfId="0" applyNumberFormat="1" applyFont="1" applyFill="1" applyBorder="1" applyAlignment="1">
      <alignment horizontal="center"/>
    </xf>
    <xf numFmtId="0" fontId="11" fillId="4" borderId="7" xfId="0" applyFont="1" applyFill="1" applyBorder="1" applyAlignment="1">
      <alignment horizontal="right"/>
    </xf>
    <xf numFmtId="49" fontId="11" fillId="4" borderId="3" xfId="0" applyNumberFormat="1" applyFont="1" applyFill="1" applyBorder="1" applyAlignment="1">
      <alignment horizontal="center"/>
    </xf>
    <xf numFmtId="49" fontId="11" fillId="4" borderId="8" xfId="0" applyNumberFormat="1" applyFont="1" applyFill="1" applyBorder="1" applyAlignment="1">
      <alignment horizontal="center"/>
    </xf>
    <xf numFmtId="0" fontId="15" fillId="4" borderId="8" xfId="0" applyFont="1" applyFill="1" applyBorder="1" applyAlignment="1">
      <alignment horizontal="right"/>
    </xf>
    <xf numFmtId="49" fontId="11" fillId="4" borderId="63" xfId="0" applyNumberFormat="1" applyFont="1" applyFill="1" applyBorder="1" applyAlignment="1">
      <alignment horizontal="center"/>
    </xf>
    <xf numFmtId="49" fontId="11" fillId="4" borderId="17" xfId="0" applyNumberFormat="1" applyFont="1" applyFill="1" applyBorder="1" applyAlignment="1">
      <alignment horizontal="center"/>
    </xf>
    <xf numFmtId="0" fontId="11" fillId="4" borderId="15" xfId="0" applyFont="1" applyFill="1" applyBorder="1" applyAlignment="1">
      <alignment horizontal="right"/>
    </xf>
    <xf numFmtId="0" fontId="11" fillId="4" borderId="17" xfId="0" applyFont="1" applyFill="1" applyBorder="1" applyAlignment="1">
      <alignment horizontal="right"/>
    </xf>
    <xf numFmtId="49" fontId="11" fillId="4" borderId="37" xfId="0" applyNumberFormat="1" applyFont="1" applyFill="1" applyBorder="1" applyAlignment="1">
      <alignment horizontal="center"/>
    </xf>
    <xf numFmtId="49" fontId="11" fillId="4" borderId="38" xfId="0" applyNumberFormat="1" applyFont="1" applyFill="1" applyBorder="1" applyAlignment="1">
      <alignment horizontal="center"/>
    </xf>
    <xf numFmtId="0" fontId="11" fillId="4" borderId="39" xfId="0" applyFont="1" applyFill="1" applyBorder="1" applyAlignment="1">
      <alignment horizontal="right"/>
    </xf>
    <xf numFmtId="0" fontId="11" fillId="4" borderId="38" xfId="0" applyFont="1" applyFill="1" applyBorder="1" applyAlignment="1">
      <alignment horizontal="right"/>
    </xf>
    <xf numFmtId="49" fontId="27" fillId="4" borderId="63" xfId="0" applyNumberFormat="1" applyFont="1" applyFill="1" applyBorder="1" applyAlignment="1">
      <alignment horizontal="center"/>
    </xf>
    <xf numFmtId="49" fontId="27" fillId="4" borderId="17" xfId="0" applyNumberFormat="1" applyFont="1" applyFill="1" applyBorder="1" applyAlignment="1">
      <alignment horizontal="center"/>
    </xf>
    <xf numFmtId="0" fontId="27" fillId="4" borderId="15" xfId="0" applyFont="1" applyFill="1" applyBorder="1" applyAlignment="1">
      <alignment horizontal="right"/>
    </xf>
    <xf numFmtId="0" fontId="27" fillId="4" borderId="17" xfId="0" applyFont="1" applyFill="1" applyBorder="1" applyAlignment="1">
      <alignment horizontal="right"/>
    </xf>
    <xf numFmtId="0" fontId="31" fillId="4" borderId="8" xfId="0" applyFont="1" applyFill="1" applyBorder="1" applyAlignment="1">
      <alignment horizontal="right" wrapText="1"/>
    </xf>
    <xf numFmtId="2" fontId="23" fillId="4" borderId="7" xfId="0" applyNumberFormat="1" applyFont="1" applyFill="1" applyBorder="1" applyAlignment="1">
      <alignment horizontal="right" wrapText="1"/>
    </xf>
    <xf numFmtId="2" fontId="23" fillId="4" borderId="8" xfId="0" applyNumberFormat="1" applyFont="1" applyFill="1" applyBorder="1" applyAlignment="1">
      <alignment horizontal="right" wrapText="1"/>
    </xf>
    <xf numFmtId="164" fontId="22" fillId="0" borderId="7" xfId="0" applyNumberFormat="1" applyFont="1" applyBorder="1" applyAlignment="1">
      <alignment horizontal="right" wrapText="1"/>
    </xf>
    <xf numFmtId="0" fontId="22" fillId="0" borderId="8" xfId="0" applyFont="1" applyBorder="1" applyAlignment="1">
      <alignment horizontal="right" wrapText="1"/>
    </xf>
    <xf numFmtId="0" fontId="11" fillId="5" borderId="53" xfId="0" applyFont="1" applyFill="1" applyBorder="1" applyAlignment="1">
      <alignment horizontal="center" vertical="top"/>
    </xf>
    <xf numFmtId="0" fontId="11" fillId="5" borderId="52" xfId="0" applyFont="1" applyFill="1" applyBorder="1" applyAlignment="1">
      <alignment horizontal="center" vertical="top"/>
    </xf>
    <xf numFmtId="2" fontId="23" fillId="4" borderId="7" xfId="0" applyNumberFormat="1" applyFont="1" applyFill="1" applyBorder="1" applyAlignment="1">
      <alignment horizontal="center" wrapText="1"/>
    </xf>
    <xf numFmtId="2" fontId="23" fillId="4" borderId="8" xfId="0" applyNumberFormat="1" applyFont="1" applyFill="1" applyBorder="1" applyAlignment="1">
      <alignment horizontal="center" wrapText="1"/>
    </xf>
    <xf numFmtId="2" fontId="19" fillId="4" borderId="7" xfId="0" applyNumberFormat="1" applyFont="1" applyFill="1" applyBorder="1" applyAlignment="1">
      <alignment horizontal="right" wrapText="1"/>
    </xf>
    <xf numFmtId="2" fontId="19" fillId="4" borderId="8" xfId="0" applyNumberFormat="1" applyFont="1" applyFill="1" applyBorder="1" applyAlignment="1">
      <alignment horizontal="right" wrapText="1"/>
    </xf>
    <xf numFmtId="0" fontId="27" fillId="5" borderId="2" xfId="0" applyFont="1" applyFill="1" applyBorder="1" applyAlignment="1">
      <alignment horizontal="center" vertical="top"/>
    </xf>
    <xf numFmtId="0" fontId="27" fillId="5" borderId="2" xfId="0" applyFont="1" applyFill="1" applyBorder="1" applyAlignment="1">
      <alignment horizontal="center" vertical="top" wrapText="1"/>
    </xf>
    <xf numFmtId="49" fontId="27" fillId="4" borderId="3" xfId="0" applyNumberFormat="1" applyFont="1" applyFill="1" applyBorder="1" applyAlignment="1">
      <alignment horizontal="center"/>
    </xf>
    <xf numFmtId="49" fontId="27" fillId="4" borderId="8" xfId="0" applyNumberFormat="1" applyFont="1" applyFill="1" applyBorder="1" applyAlignment="1">
      <alignment horizontal="center"/>
    </xf>
    <xf numFmtId="0" fontId="15" fillId="4" borderId="7" xfId="0" applyFont="1" applyFill="1" applyBorder="1" applyAlignment="1">
      <alignment horizontal="right" wrapText="1"/>
    </xf>
    <xf numFmtId="0" fontId="15" fillId="4" borderId="8" xfId="0" applyFont="1" applyFill="1" applyBorder="1" applyAlignment="1">
      <alignment horizontal="right" wrapText="1"/>
    </xf>
    <xf numFmtId="49" fontId="11" fillId="4" borderId="60" xfId="0" applyNumberFormat="1" applyFont="1" applyFill="1" applyBorder="1" applyAlignment="1">
      <alignment horizontal="center"/>
    </xf>
    <xf numFmtId="49" fontId="11" fillId="4" borderId="73" xfId="0" applyNumberFormat="1" applyFont="1" applyFill="1" applyBorder="1" applyAlignment="1">
      <alignment horizontal="center"/>
    </xf>
    <xf numFmtId="49" fontId="15" fillId="3" borderId="2" xfId="0" applyNumberFormat="1" applyFont="1" applyFill="1" applyBorder="1" applyAlignment="1">
      <alignment horizontal="center"/>
    </xf>
    <xf numFmtId="0" fontId="16" fillId="3" borderId="6" xfId="0" applyFont="1" applyFill="1" applyBorder="1" applyAlignment="1">
      <alignment horizontal="right"/>
    </xf>
    <xf numFmtId="0" fontId="16" fillId="4" borderId="7" xfId="0" applyFont="1" applyFill="1" applyBorder="1" applyAlignment="1">
      <alignment horizontal="right"/>
    </xf>
    <xf numFmtId="0" fontId="34" fillId="4" borderId="8" xfId="0" applyFont="1" applyFill="1" applyBorder="1" applyAlignment="1">
      <alignment horizontal="right"/>
    </xf>
    <xf numFmtId="0" fontId="11" fillId="5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28" fillId="5" borderId="54" xfId="0" applyFont="1" applyFill="1" applyBorder="1" applyAlignment="1">
      <alignment horizontal="center" vertical="top" wrapText="1"/>
    </xf>
    <xf numFmtId="0" fontId="28" fillId="5" borderId="11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right"/>
    </xf>
    <xf numFmtId="0" fontId="19" fillId="7" borderId="3" xfId="0" applyFont="1" applyFill="1" applyBorder="1" applyAlignment="1">
      <alignment horizontal="right"/>
    </xf>
    <xf numFmtId="0" fontId="11" fillId="7" borderId="8" xfId="0" applyFont="1" applyFill="1" applyBorder="1" applyAlignment="1">
      <alignment horizontal="right"/>
    </xf>
    <xf numFmtId="0" fontId="11" fillId="4" borderId="12" xfId="0" applyFont="1" applyFill="1" applyBorder="1" applyAlignment="1">
      <alignment horizontal="right" wrapText="1"/>
    </xf>
    <xf numFmtId="0" fontId="11" fillId="4" borderId="13" xfId="0" applyFont="1" applyFill="1" applyBorder="1" applyAlignment="1">
      <alignment horizontal="right" wrapText="1"/>
    </xf>
    <xf numFmtId="0" fontId="15" fillId="11" borderId="3" xfId="0" applyFont="1" applyFill="1" applyBorder="1" applyAlignment="1">
      <alignment horizontal="right"/>
    </xf>
    <xf numFmtId="0" fontId="11" fillId="11" borderId="8" xfId="0" applyFont="1" applyFill="1" applyBorder="1" applyAlignment="1">
      <alignment horizontal="right"/>
    </xf>
    <xf numFmtId="49" fontId="28" fillId="5" borderId="54" xfId="0" applyNumberFormat="1" applyFont="1" applyFill="1" applyBorder="1" applyAlignment="1">
      <alignment horizontal="center" vertical="top" wrapText="1"/>
    </xf>
    <xf numFmtId="0" fontId="27" fillId="4" borderId="7" xfId="0" applyFont="1" applyFill="1" applyBorder="1" applyAlignment="1">
      <alignment horizontal="right"/>
    </xf>
    <xf numFmtId="0" fontId="31" fillId="4" borderId="8" xfId="0" applyFont="1" applyFill="1" applyBorder="1" applyAlignment="1">
      <alignment horizontal="right"/>
    </xf>
    <xf numFmtId="0" fontId="31" fillId="4" borderId="7" xfId="0" applyFont="1" applyFill="1" applyBorder="1" applyAlignment="1">
      <alignment horizontal="right"/>
    </xf>
    <xf numFmtId="0" fontId="27" fillId="4" borderId="8" xfId="0" applyFont="1" applyFill="1" applyBorder="1" applyAlignment="1">
      <alignment horizontal="right" wrapText="1"/>
    </xf>
    <xf numFmtId="0" fontId="44" fillId="12" borderId="3" xfId="0" applyFont="1" applyFill="1" applyBorder="1" applyAlignment="1">
      <alignment horizontal="center"/>
    </xf>
    <xf numFmtId="0" fontId="44" fillId="12" borderId="8" xfId="0" applyFont="1" applyFill="1" applyBorder="1" applyAlignment="1">
      <alignment horizontal="center"/>
    </xf>
    <xf numFmtId="49" fontId="11" fillId="4" borderId="70" xfId="0" applyNumberFormat="1" applyFont="1" applyFill="1" applyBorder="1" applyAlignment="1">
      <alignment horizontal="center"/>
    </xf>
    <xf numFmtId="2" fontId="22" fillId="0" borderId="7" xfId="0" applyNumberFormat="1" applyFont="1" applyBorder="1" applyAlignment="1">
      <alignment horizontal="right" wrapText="1"/>
    </xf>
    <xf numFmtId="2" fontId="22" fillId="0" borderId="8" xfId="0" applyNumberFormat="1" applyFont="1" applyBorder="1" applyAlignment="1">
      <alignment horizontal="right" wrapText="1"/>
    </xf>
    <xf numFmtId="0" fontId="27" fillId="4" borderId="8" xfId="0" applyFont="1" applyFill="1" applyBorder="1" applyAlignment="1">
      <alignment horizontal="right"/>
    </xf>
    <xf numFmtId="0" fontId="27" fillId="4" borderId="7" xfId="0" applyFont="1" applyFill="1" applyBorder="1" applyAlignment="1">
      <alignment horizontal="right" wrapText="1"/>
    </xf>
    <xf numFmtId="2" fontId="15" fillId="4" borderId="27" xfId="0" applyNumberFormat="1" applyFont="1" applyFill="1" applyBorder="1" applyAlignment="1">
      <alignment horizontal="right" wrapText="1"/>
    </xf>
    <xf numFmtId="2" fontId="11" fillId="4" borderId="26" xfId="0" applyNumberFormat="1" applyFont="1" applyFill="1" applyBorder="1" applyAlignment="1">
      <alignment horizontal="right" wrapText="1"/>
    </xf>
    <xf numFmtId="0" fontId="22" fillId="4" borderId="7" xfId="0" applyFont="1" applyFill="1" applyBorder="1" applyAlignment="1">
      <alignment horizontal="right" vertical="top" wrapText="1"/>
    </xf>
    <xf numFmtId="0" fontId="22" fillId="4" borderId="8" xfId="0" applyFont="1" applyFill="1" applyBorder="1" applyAlignment="1">
      <alignment horizontal="right" vertical="top" wrapText="1"/>
    </xf>
    <xf numFmtId="0" fontId="11" fillId="4" borderId="7" xfId="0" applyFont="1" applyFill="1" applyBorder="1" applyAlignment="1">
      <alignment horizontal="right" vertical="top" wrapText="1"/>
    </xf>
    <xf numFmtId="0" fontId="11" fillId="4" borderId="8" xfId="0" applyFont="1" applyFill="1" applyBorder="1" applyAlignment="1">
      <alignment horizontal="right" vertical="top" wrapText="1"/>
    </xf>
    <xf numFmtId="2" fontId="11" fillId="4" borderId="22" xfId="0" applyNumberFormat="1" applyFont="1" applyFill="1" applyBorder="1" applyAlignment="1">
      <alignment horizontal="right" wrapText="1"/>
    </xf>
    <xf numFmtId="2" fontId="11" fillId="4" borderId="23" xfId="0" applyNumberFormat="1" applyFont="1" applyFill="1" applyBorder="1" applyAlignment="1">
      <alignment horizontal="right" wrapText="1"/>
    </xf>
    <xf numFmtId="2" fontId="11" fillId="4" borderId="7" xfId="0" applyNumberFormat="1" applyFont="1" applyFill="1" applyBorder="1" applyAlignment="1">
      <alignment horizontal="center" wrapText="1"/>
    </xf>
    <xf numFmtId="2" fontId="11" fillId="4" borderId="8" xfId="0" applyNumberFormat="1" applyFont="1" applyFill="1" applyBorder="1" applyAlignment="1">
      <alignment horizontal="center" wrapText="1"/>
    </xf>
    <xf numFmtId="0" fontId="22" fillId="0" borderId="7" xfId="0" applyFont="1" applyBorder="1" applyAlignment="1">
      <alignment horizontal="right" wrapText="1"/>
    </xf>
    <xf numFmtId="0" fontId="15" fillId="4" borderId="18" xfId="0" applyFont="1" applyFill="1" applyBorder="1" applyAlignment="1">
      <alignment horizontal="right"/>
    </xf>
    <xf numFmtId="0" fontId="15" fillId="4" borderId="13" xfId="0" applyFont="1" applyFill="1" applyBorder="1" applyAlignment="1">
      <alignment horizontal="right"/>
    </xf>
    <xf numFmtId="0" fontId="11" fillId="4" borderId="13" xfId="0" applyFont="1" applyFill="1" applyBorder="1" applyAlignment="1">
      <alignment horizontal="right"/>
    </xf>
    <xf numFmtId="49" fontId="11" fillId="5" borderId="32" xfId="0" applyNumberFormat="1" applyFont="1" applyFill="1" applyBorder="1" applyAlignment="1">
      <alignment horizontal="center"/>
    </xf>
    <xf numFmtId="49" fontId="27" fillId="5" borderId="13" xfId="0" applyNumberFormat="1" applyFont="1" applyFill="1" applyBorder="1" applyAlignment="1">
      <alignment horizontal="center"/>
    </xf>
    <xf numFmtId="0" fontId="16" fillId="4" borderId="8" xfId="0" applyFont="1" applyFill="1" applyBorder="1" applyAlignment="1">
      <alignment horizontal="right" wrapText="1"/>
    </xf>
    <xf numFmtId="49" fontId="11" fillId="5" borderId="13" xfId="0" applyNumberFormat="1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 wrapText="1"/>
    </xf>
    <xf numFmtId="0" fontId="26" fillId="3" borderId="6" xfId="0" applyFont="1" applyFill="1" applyBorder="1" applyAlignment="1">
      <alignment horizontal="center" wrapText="1"/>
    </xf>
    <xf numFmtId="0" fontId="26" fillId="3" borderId="2" xfId="0" applyFont="1" applyFill="1" applyBorder="1" applyAlignment="1">
      <alignment horizontal="center" wrapText="1"/>
    </xf>
    <xf numFmtId="0" fontId="34" fillId="4" borderId="17" xfId="0" applyFont="1" applyFill="1" applyBorder="1" applyAlignment="1">
      <alignment horizontal="right"/>
    </xf>
    <xf numFmtId="49" fontId="27" fillId="5" borderId="49" xfId="0" applyNumberFormat="1" applyFont="1" applyFill="1" applyBorder="1" applyAlignment="1">
      <alignment horizontal="center"/>
    </xf>
    <xf numFmtId="0" fontId="25" fillId="0" borderId="0" xfId="0" applyFont="1"/>
    <xf numFmtId="49" fontId="28" fillId="5" borderId="54" xfId="0" applyNumberFormat="1" applyFont="1" applyFill="1" applyBorder="1" applyAlignment="1">
      <alignment horizontal="left" vertical="top" wrapText="1"/>
    </xf>
    <xf numFmtId="0" fontId="28" fillId="5" borderId="11" xfId="0" applyFont="1" applyFill="1" applyBorder="1" applyAlignment="1">
      <alignment horizontal="left" vertical="top" wrapText="1"/>
    </xf>
    <xf numFmtId="49" fontId="28" fillId="5" borderId="11" xfId="0" applyNumberFormat="1" applyFont="1" applyFill="1" applyBorder="1" applyAlignment="1">
      <alignment horizontal="center" vertical="top" wrapText="1"/>
    </xf>
    <xf numFmtId="49" fontId="27" fillId="4" borderId="70" xfId="0" applyNumberFormat="1" applyFont="1" applyFill="1" applyBorder="1" applyAlignment="1">
      <alignment horizontal="center"/>
    </xf>
    <xf numFmtId="0" fontId="15" fillId="4" borderId="12" xfId="0" applyFont="1" applyFill="1" applyBorder="1" applyAlignment="1">
      <alignment horizontal="right" wrapText="1"/>
    </xf>
    <xf numFmtId="0" fontId="15" fillId="4" borderId="13" xfId="0" applyFont="1" applyFill="1" applyBorder="1" applyAlignment="1">
      <alignment horizontal="right" wrapText="1"/>
    </xf>
    <xf numFmtId="0" fontId="16" fillId="4" borderId="16" xfId="0" applyFont="1" applyFill="1" applyBorder="1" applyAlignment="1">
      <alignment horizontal="right"/>
    </xf>
    <xf numFmtId="0" fontId="31" fillId="4" borderId="3" xfId="0" applyFont="1" applyFill="1" applyBorder="1" applyAlignment="1">
      <alignment horizontal="right" wrapText="1"/>
    </xf>
    <xf numFmtId="0" fontId="11" fillId="4" borderId="3" xfId="0" applyFont="1" applyFill="1" applyBorder="1" applyAlignment="1">
      <alignment horizontal="right" wrapText="1"/>
    </xf>
    <xf numFmtId="0" fontId="19" fillId="7" borderId="8" xfId="0" applyFont="1" applyFill="1" applyBorder="1" applyAlignment="1">
      <alignment horizontal="right"/>
    </xf>
    <xf numFmtId="0" fontId="15" fillId="11" borderId="8" xfId="0" applyFont="1" applyFill="1" applyBorder="1" applyAlignment="1">
      <alignment horizontal="right"/>
    </xf>
    <xf numFmtId="0" fontId="16" fillId="4" borderId="63" xfId="0" applyFont="1" applyFill="1" applyBorder="1" applyAlignment="1">
      <alignment horizontal="right"/>
    </xf>
    <xf numFmtId="49" fontId="31" fillId="3" borderId="2" xfId="0" applyNumberFormat="1" applyFont="1" applyFill="1" applyBorder="1" applyAlignment="1">
      <alignment horizontal="center"/>
    </xf>
    <xf numFmtId="0" fontId="34" fillId="3" borderId="1" xfId="0" applyFont="1" applyFill="1" applyBorder="1" applyAlignment="1">
      <alignment horizontal="right"/>
    </xf>
    <xf numFmtId="0" fontId="37" fillId="0" borderId="0" xfId="0" applyFont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28" fillId="7" borderId="7" xfId="0" applyFont="1" applyFill="1" applyBorder="1" applyAlignment="1">
      <alignment horizontal="center" vertical="top" wrapText="1"/>
    </xf>
    <xf numFmtId="0" fontId="28" fillId="7" borderId="4" xfId="0" applyFont="1" applyFill="1" applyBorder="1" applyAlignment="1">
      <alignment horizontal="center" vertical="top" wrapText="1"/>
    </xf>
    <xf numFmtId="0" fontId="28" fillId="7" borderId="8" xfId="0" applyFont="1" applyFill="1" applyBorder="1" applyAlignment="1">
      <alignment horizontal="center" vertical="top" wrapText="1"/>
    </xf>
    <xf numFmtId="0" fontId="15" fillId="10" borderId="32" xfId="0" applyFont="1" applyFill="1" applyBorder="1" applyAlignment="1">
      <alignment horizontal="center"/>
    </xf>
    <xf numFmtId="0" fontId="15" fillId="10" borderId="13" xfId="0" applyFont="1" applyFill="1" applyBorder="1" applyAlignment="1">
      <alignment horizontal="center"/>
    </xf>
    <xf numFmtId="0" fontId="15" fillId="11" borderId="32" xfId="0" applyFont="1" applyFill="1" applyBorder="1" applyAlignment="1">
      <alignment horizontal="right"/>
    </xf>
    <xf numFmtId="0" fontId="11" fillId="11" borderId="13" xfId="0" applyFont="1" applyFill="1" applyBorder="1" applyAlignment="1">
      <alignment horizontal="right"/>
    </xf>
    <xf numFmtId="0" fontId="15" fillId="11" borderId="32" xfId="0" applyFont="1" applyFill="1" applyBorder="1" applyAlignment="1">
      <alignment horizontal="center"/>
    </xf>
    <xf numFmtId="0" fontId="15" fillId="11" borderId="13" xfId="0" applyFont="1" applyFill="1" applyBorder="1" applyAlignment="1">
      <alignment horizontal="center"/>
    </xf>
    <xf numFmtId="49" fontId="43" fillId="12" borderId="32" xfId="0" applyNumberFormat="1" applyFont="1" applyFill="1" applyBorder="1" applyAlignment="1">
      <alignment horizontal="center"/>
    </xf>
    <xf numFmtId="49" fontId="43" fillId="12" borderId="73" xfId="0" applyNumberFormat="1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0" fontId="15" fillId="11" borderId="3" xfId="0" applyFont="1" applyFill="1" applyBorder="1" applyAlignment="1">
      <alignment horizontal="center"/>
    </xf>
    <xf numFmtId="0" fontId="15" fillId="11" borderId="8" xfId="0" applyFont="1" applyFill="1" applyBorder="1" applyAlignment="1">
      <alignment horizontal="center"/>
    </xf>
    <xf numFmtId="49" fontId="43" fillId="12" borderId="3" xfId="0" applyNumberFormat="1" applyFont="1" applyFill="1" applyBorder="1" applyAlignment="1">
      <alignment horizontal="center"/>
    </xf>
    <xf numFmtId="49" fontId="43" fillId="12" borderId="60" xfId="0" applyNumberFormat="1" applyFont="1" applyFill="1" applyBorder="1" applyAlignment="1">
      <alignment horizontal="center"/>
    </xf>
    <xf numFmtId="0" fontId="15" fillId="11" borderId="90" xfId="0" applyFont="1" applyFill="1" applyBorder="1" applyAlignment="1">
      <alignment horizontal="right"/>
    </xf>
    <xf numFmtId="0" fontId="15" fillId="11" borderId="26" xfId="0" applyFont="1" applyFill="1" applyBorder="1" applyAlignment="1">
      <alignment horizontal="right"/>
    </xf>
    <xf numFmtId="0" fontId="27" fillId="4" borderId="3" xfId="0" applyFont="1" applyFill="1" applyBorder="1" applyAlignment="1">
      <alignment horizontal="right"/>
    </xf>
    <xf numFmtId="49" fontId="27" fillId="4" borderId="60" xfId="0" applyNumberFormat="1" applyFont="1" applyFill="1" applyBorder="1" applyAlignment="1">
      <alignment horizontal="center"/>
    </xf>
    <xf numFmtId="49" fontId="23" fillId="3" borderId="54" xfId="0" applyNumberFormat="1" applyFont="1" applyFill="1" applyBorder="1" applyAlignment="1">
      <alignment horizontal="center" wrapText="1"/>
    </xf>
    <xf numFmtId="49" fontId="23" fillId="3" borderId="11" xfId="0" applyNumberFormat="1" applyFont="1" applyFill="1" applyBorder="1" applyAlignment="1">
      <alignment horizontal="center" wrapText="1"/>
    </xf>
    <xf numFmtId="49" fontId="23" fillId="3" borderId="54" xfId="0" applyNumberFormat="1" applyFont="1" applyFill="1" applyBorder="1" applyAlignment="1">
      <alignment horizontal="center"/>
    </xf>
    <xf numFmtId="49" fontId="23" fillId="3" borderId="11" xfId="0" applyNumberFormat="1" applyFont="1" applyFill="1" applyBorder="1" applyAlignment="1">
      <alignment horizontal="center"/>
    </xf>
    <xf numFmtId="49" fontId="11" fillId="4" borderId="15" xfId="0" applyNumberFormat="1" applyFont="1" applyFill="1" applyBorder="1" applyAlignment="1">
      <alignment horizontal="right"/>
    </xf>
    <xf numFmtId="0" fontId="23" fillId="3" borderId="54" xfId="0" applyFont="1" applyFill="1" applyBorder="1" applyAlignment="1">
      <alignment horizontal="center" wrapText="1"/>
    </xf>
    <xf numFmtId="0" fontId="23" fillId="3" borderId="11" xfId="0" applyFont="1" applyFill="1" applyBorder="1" applyAlignment="1">
      <alignment horizontal="center" wrapText="1"/>
    </xf>
    <xf numFmtId="49" fontId="22" fillId="4" borderId="7" xfId="0" applyNumberFormat="1" applyFont="1" applyFill="1" applyBorder="1" applyAlignment="1">
      <alignment horizontal="center" vertical="top" wrapText="1"/>
    </xf>
    <xf numFmtId="49" fontId="22" fillId="4" borderId="8" xfId="0" applyNumberFormat="1" applyFont="1" applyFill="1" applyBorder="1" applyAlignment="1">
      <alignment horizontal="center" vertical="top" wrapText="1"/>
    </xf>
    <xf numFmtId="49" fontId="11" fillId="4" borderId="7" xfId="0" applyNumberFormat="1" applyFont="1" applyFill="1" applyBorder="1" applyAlignment="1">
      <alignment horizontal="right" wrapText="1"/>
    </xf>
    <xf numFmtId="49" fontId="11" fillId="4" borderId="8" xfId="0" applyNumberFormat="1" applyFont="1" applyFill="1" applyBorder="1" applyAlignment="1">
      <alignment horizontal="right" wrapText="1"/>
    </xf>
    <xf numFmtId="49" fontId="22" fillId="4" borderId="7" xfId="0" applyNumberFormat="1" applyFont="1" applyFill="1" applyBorder="1" applyAlignment="1">
      <alignment horizontal="right" vertical="top" wrapText="1"/>
    </xf>
    <xf numFmtId="49" fontId="22" fillId="4" borderId="8" xfId="0" applyNumberFormat="1" applyFont="1" applyFill="1" applyBorder="1" applyAlignment="1">
      <alignment horizontal="right" vertical="top" wrapText="1"/>
    </xf>
    <xf numFmtId="2" fontId="22" fillId="4" borderId="7" xfId="0" applyNumberFormat="1" applyFont="1" applyFill="1" applyBorder="1" applyAlignment="1">
      <alignment horizontal="right" wrapText="1"/>
    </xf>
    <xf numFmtId="0" fontId="22" fillId="4" borderId="8" xfId="0" applyFont="1" applyFill="1" applyBorder="1" applyAlignment="1">
      <alignment horizontal="right" wrapText="1"/>
    </xf>
    <xf numFmtId="0" fontId="22" fillId="4" borderId="15" xfId="0" applyFont="1" applyFill="1" applyBorder="1" applyAlignment="1">
      <alignment horizontal="right" wrapText="1"/>
    </xf>
    <xf numFmtId="0" fontId="22" fillId="4" borderId="17" xfId="0" applyFont="1" applyFill="1" applyBorder="1" applyAlignment="1">
      <alignment horizontal="right" wrapText="1"/>
    </xf>
    <xf numFmtId="0" fontId="11" fillId="4" borderId="25" xfId="0" applyFont="1" applyFill="1" applyBorder="1" applyAlignment="1">
      <alignment horizontal="right" wrapText="1"/>
    </xf>
    <xf numFmtId="0" fontId="11" fillId="4" borderId="57" xfId="0" applyFont="1" applyFill="1" applyBorder="1" applyAlignment="1">
      <alignment horizontal="right" wrapText="1"/>
    </xf>
    <xf numFmtId="0" fontId="22" fillId="4" borderId="20" xfId="0" applyFont="1" applyFill="1" applyBorder="1" applyAlignment="1">
      <alignment horizontal="right" wrapText="1"/>
    </xf>
    <xf numFmtId="0" fontId="22" fillId="0" borderId="7" xfId="0" applyFont="1" applyBorder="1" applyAlignment="1">
      <alignment horizontal="center" wrapText="1"/>
    </xf>
    <xf numFmtId="0" fontId="22" fillId="0" borderId="8" xfId="0" applyFont="1" applyBorder="1" applyAlignment="1">
      <alignment horizontal="center" wrapText="1"/>
    </xf>
    <xf numFmtId="0" fontId="0" fillId="5" borderId="6" xfId="0" applyFill="1" applyBorder="1" applyAlignment="1">
      <alignment horizontal="center"/>
    </xf>
    <xf numFmtId="49" fontId="22" fillId="4" borderId="18" xfId="0" applyNumberFormat="1" applyFont="1" applyFill="1" applyBorder="1" applyAlignment="1">
      <alignment horizontal="right" vertical="top" wrapText="1"/>
    </xf>
    <xf numFmtId="0" fontId="21" fillId="4" borderId="13" xfId="0" applyFont="1" applyFill="1" applyBorder="1" applyAlignment="1">
      <alignment horizontal="right" vertical="top" wrapText="1"/>
    </xf>
    <xf numFmtId="0" fontId="22" fillId="0" borderId="4" xfId="0" applyFont="1" applyBorder="1" applyAlignment="1">
      <alignment horizontal="right" wrapText="1"/>
    </xf>
    <xf numFmtId="0" fontId="11" fillId="4" borderId="18" xfId="0" applyFont="1" applyFill="1" applyBorder="1" applyAlignment="1">
      <alignment horizontal="right" vertical="top" wrapText="1"/>
    </xf>
    <xf numFmtId="0" fontId="24" fillId="4" borderId="13" xfId="0" applyFont="1" applyFill="1" applyBorder="1" applyAlignment="1">
      <alignment horizontal="right" vertical="top" wrapText="1"/>
    </xf>
    <xf numFmtId="0" fontId="11" fillId="0" borderId="7" xfId="0" applyFont="1" applyBorder="1" applyAlignment="1">
      <alignment horizontal="right" wrapText="1"/>
    </xf>
    <xf numFmtId="0" fontId="11" fillId="0" borderId="4" xfId="0" applyFont="1" applyBorder="1" applyAlignment="1">
      <alignment horizontal="right" wrapText="1"/>
    </xf>
    <xf numFmtId="0" fontId="22" fillId="4" borderId="7" xfId="0" applyFont="1" applyFill="1" applyBorder="1" applyAlignment="1">
      <alignment horizontal="right" wrapText="1"/>
    </xf>
    <xf numFmtId="49" fontId="11" fillId="6" borderId="32" xfId="0" applyNumberFormat="1" applyFont="1" applyFill="1" applyBorder="1" applyAlignment="1">
      <alignment horizontal="center"/>
    </xf>
    <xf numFmtId="49" fontId="11" fillId="6" borderId="13" xfId="0" applyNumberFormat="1" applyFont="1" applyFill="1" applyBorder="1" applyAlignment="1">
      <alignment horizontal="center"/>
    </xf>
    <xf numFmtId="49" fontId="11" fillId="4" borderId="7" xfId="0" applyNumberFormat="1" applyFont="1" applyFill="1" applyBorder="1" applyAlignment="1">
      <alignment horizontal="center" wrapText="1"/>
    </xf>
    <xf numFmtId="49" fontId="11" fillId="4" borderId="8" xfId="0" applyNumberFormat="1" applyFont="1" applyFill="1" applyBorder="1" applyAlignment="1">
      <alignment horizontal="center" wrapText="1"/>
    </xf>
    <xf numFmtId="0" fontId="16" fillId="4" borderId="39" xfId="0" applyFont="1" applyFill="1" applyBorder="1" applyAlignment="1">
      <alignment horizontal="right"/>
    </xf>
    <xf numFmtId="0" fontId="20" fillId="4" borderId="38" xfId="0" applyFont="1" applyFill="1" applyBorder="1" applyAlignment="1">
      <alignment horizontal="right"/>
    </xf>
    <xf numFmtId="0" fontId="11" fillId="5" borderId="53" xfId="0" applyFont="1" applyFill="1" applyBorder="1" applyAlignment="1">
      <alignment horizontal="center" vertical="top" wrapText="1"/>
    </xf>
    <xf numFmtId="0" fontId="0" fillId="5" borderId="52" xfId="0" applyFill="1" applyBorder="1" applyAlignment="1">
      <alignment horizontal="center" wrapText="1"/>
    </xf>
    <xf numFmtId="0" fontId="0" fillId="5" borderId="24" xfId="0" applyFill="1" applyBorder="1" applyAlignment="1">
      <alignment horizontal="center"/>
    </xf>
    <xf numFmtId="0" fontId="23" fillId="6" borderId="18" xfId="0" applyFont="1" applyFill="1" applyBorder="1" applyAlignment="1">
      <alignment horizontal="center" wrapText="1"/>
    </xf>
    <xf numFmtId="0" fontId="23" fillId="6" borderId="13" xfId="0" applyFont="1" applyFill="1" applyBorder="1" applyAlignment="1">
      <alignment horizontal="center" wrapText="1"/>
    </xf>
    <xf numFmtId="0" fontId="22" fillId="4" borderId="18" xfId="0" applyFont="1" applyFill="1" applyBorder="1" applyAlignment="1">
      <alignment horizontal="right" vertical="top" wrapText="1"/>
    </xf>
    <xf numFmtId="0" fontId="37" fillId="0" borderId="0" xfId="0" applyFont="1" applyAlignment="1">
      <alignment horizontal="center" wrapText="1"/>
    </xf>
    <xf numFmtId="0" fontId="39" fillId="4" borderId="0" xfId="0" applyFont="1" applyFill="1" applyAlignment="1">
      <alignment horizontal="center" textRotation="90"/>
    </xf>
    <xf numFmtId="0" fontId="1" fillId="15" borderId="45" xfId="0" applyFont="1" applyFill="1" applyBorder="1" applyAlignment="1">
      <alignment horizontal="center" vertical="center" wrapText="1"/>
    </xf>
    <xf numFmtId="0" fontId="1" fillId="15" borderId="58" xfId="0" applyFont="1" applyFill="1" applyBorder="1" applyAlignment="1">
      <alignment horizontal="center" vertical="center" wrapText="1"/>
    </xf>
    <xf numFmtId="0" fontId="1" fillId="15" borderId="53" xfId="0" applyFont="1" applyFill="1" applyBorder="1" applyAlignment="1">
      <alignment horizontal="center" vertical="center" wrapText="1"/>
    </xf>
    <xf numFmtId="164" fontId="1" fillId="15" borderId="55" xfId="0" applyNumberFormat="1" applyFont="1" applyFill="1" applyBorder="1" applyAlignment="1">
      <alignment horizontal="center" vertical="center"/>
    </xf>
    <xf numFmtId="0" fontId="1" fillId="15" borderId="78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164" fontId="38" fillId="8" borderId="88" xfId="0" applyNumberFormat="1" applyFont="1" applyFill="1" applyBorder="1" applyAlignment="1">
      <alignment horizontal="center" vertical="center"/>
    </xf>
    <xf numFmtId="164" fontId="38" fillId="8" borderId="79" xfId="0" applyNumberFormat="1" applyFont="1" applyFill="1" applyBorder="1" applyAlignment="1">
      <alignment horizontal="center" vertical="center"/>
    </xf>
    <xf numFmtId="164" fontId="0" fillId="0" borderId="54" xfId="0" applyNumberFormat="1" applyBorder="1" applyAlignment="1">
      <alignment horizontal="center" vertical="center"/>
    </xf>
    <xf numFmtId="164" fontId="38" fillId="0" borderId="15" xfId="0" applyNumberFormat="1" applyFont="1" applyBorder="1" applyAlignment="1">
      <alignment horizontal="center" vertical="center"/>
    </xf>
    <xf numFmtId="164" fontId="38" fillId="8" borderId="55" xfId="0" applyNumberFormat="1" applyFont="1" applyFill="1" applyBorder="1" applyAlignment="1">
      <alignment horizontal="center" vertical="center"/>
    </xf>
    <xf numFmtId="164" fontId="38" fillId="8" borderId="66" xfId="0" applyNumberFormat="1" applyFont="1" applyFill="1" applyBorder="1" applyAlignment="1">
      <alignment horizontal="center" vertical="center"/>
    </xf>
    <xf numFmtId="0" fontId="1" fillId="15" borderId="66" xfId="0" applyFont="1" applyFill="1" applyBorder="1" applyAlignment="1">
      <alignment horizontal="center" vertical="center"/>
    </xf>
    <xf numFmtId="164" fontId="0" fillId="0" borderId="84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38" fillId="8" borderId="28" xfId="0" applyNumberFormat="1" applyFont="1" applyFill="1" applyBorder="1" applyAlignment="1">
      <alignment horizontal="center" vertical="center"/>
    </xf>
    <xf numFmtId="164" fontId="38" fillId="8" borderId="51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164" fontId="1" fillId="6" borderId="78" xfId="0" applyNumberFormat="1" applyFont="1" applyFill="1" applyBorder="1" applyAlignment="1">
      <alignment horizontal="center" vertical="center" wrapText="1"/>
    </xf>
    <xf numFmtId="164" fontId="1" fillId="6" borderId="66" xfId="0" applyNumberFormat="1" applyFont="1" applyFill="1" applyBorder="1" applyAlignment="1">
      <alignment horizontal="center" vertical="center" wrapText="1"/>
    </xf>
    <xf numFmtId="164" fontId="1" fillId="6" borderId="7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4" fontId="38" fillId="0" borderId="7" xfId="0" applyNumberFormat="1" applyFont="1" applyBorder="1" applyAlignment="1">
      <alignment horizontal="center" vertical="center"/>
    </xf>
    <xf numFmtId="164" fontId="38" fillId="0" borderId="8" xfId="0" applyNumberFormat="1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2" fontId="1" fillId="4" borderId="80" xfId="0" applyNumberFormat="1" applyFont="1" applyFill="1" applyBorder="1" applyAlignment="1">
      <alignment horizontal="center" vertical="center"/>
    </xf>
    <xf numFmtId="2" fontId="1" fillId="4" borderId="30" xfId="0" applyNumberFormat="1" applyFont="1" applyFill="1" applyBorder="1" applyAlignment="1">
      <alignment horizontal="center" vertical="center"/>
    </xf>
    <xf numFmtId="164" fontId="38" fillId="4" borderId="81" xfId="0" applyNumberFormat="1" applyFont="1" applyFill="1" applyBorder="1" applyAlignment="1">
      <alignment horizontal="center" vertical="center"/>
    </xf>
    <xf numFmtId="164" fontId="38" fillId="4" borderId="31" xfId="0" applyNumberFormat="1" applyFont="1" applyFill="1" applyBorder="1" applyAlignment="1">
      <alignment horizontal="center" vertical="center"/>
    </xf>
    <xf numFmtId="164" fontId="0" fillId="6" borderId="86" xfId="0" applyNumberFormat="1" applyFill="1" applyBorder="1" applyAlignment="1">
      <alignment horizontal="center" vertical="center"/>
    </xf>
    <xf numFmtId="164" fontId="0" fillId="6" borderId="64" xfId="0" applyNumberFormat="1" applyFill="1" applyBorder="1" applyAlignment="1">
      <alignment horizontal="center" vertical="center"/>
    </xf>
    <xf numFmtId="2" fontId="1" fillId="4" borderId="87" xfId="0" applyNumberFormat="1" applyFont="1" applyFill="1" applyBorder="1" applyAlignment="1">
      <alignment horizontal="center" vertical="center"/>
    </xf>
    <xf numFmtId="2" fontId="1" fillId="4" borderId="72" xfId="0" applyNumberFormat="1" applyFont="1" applyFill="1" applyBorder="1" applyAlignment="1">
      <alignment horizontal="center" vertical="center"/>
    </xf>
    <xf numFmtId="164" fontId="0" fillId="6" borderId="84" xfId="0" applyNumberFormat="1" applyFill="1" applyBorder="1" applyAlignment="1">
      <alignment horizontal="center" vertical="center"/>
    </xf>
    <xf numFmtId="164" fontId="0" fillId="6" borderId="29" xfId="0" applyNumberFormat="1" applyFill="1" applyBorder="1" applyAlignment="1">
      <alignment horizontal="center" vertical="center"/>
    </xf>
    <xf numFmtId="0" fontId="1" fillId="0" borderId="24" xfId="0" applyFont="1" applyBorder="1" applyAlignment="1">
      <alignment horizontal="center" wrapText="1"/>
    </xf>
  </cellXfs>
  <cellStyles count="2">
    <cellStyle name="Navadno" xfId="0" builtinId="0"/>
    <cellStyle name="Navadno 2" xfId="1" xr:uid="{00000000-0005-0000-0000-000001000000}"/>
  </cellStyles>
  <dxfs count="0"/>
  <tableStyles count="0" defaultTableStyle="TableStyleMedium2" defaultPivotStyle="PivotStyleLight16"/>
  <colors>
    <mruColors>
      <color rgb="FFE1783D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0</xdr:row>
      <xdr:rowOff>0</xdr:rowOff>
    </xdr:from>
    <xdr:to>
      <xdr:col>7</xdr:col>
      <xdr:colOff>186375</xdr:colOff>
      <xdr:row>5</xdr:row>
      <xdr:rowOff>177812</xdr:rowOff>
    </xdr:to>
    <xdr:pic>
      <xdr:nvPicPr>
        <xdr:cNvPr id="392" name="Slika 39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0"/>
          <a:ext cx="2520000" cy="11303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klukovic\AppData\Roaming\Microsoft\Excel\CENIK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IK_št_1"/>
      <sheetName val="KALKULACIJA_CENIK_št_1"/>
      <sheetName val="CENIK em"/>
      <sheetName val="KALKULACIJA CENIK em"/>
      <sheetName val="CENIK_primerjava"/>
      <sheetName val="VPLIV NA PRORAČUN O.J."/>
      <sheetName val="VPLIV NA PRORAČUN O.Ž."/>
    </sheetNames>
    <sheetDataSet>
      <sheetData sheetId="0">
        <row r="50">
          <cell r="B50" t="str">
            <v>Unimog (razreda U300, U500)</v>
          </cell>
        </row>
        <row r="78">
          <cell r="B78" t="str">
            <v>PRIKLJUČKI ZA TOVORNA VOZILA IN TRAKTORJE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94"/>
  <sheetViews>
    <sheetView showGridLines="0" tabSelected="1" view="pageBreakPreview" zoomScaleNormal="100" zoomScaleSheetLayoutView="100" workbookViewId="0">
      <selection activeCell="J40" sqref="J40"/>
    </sheetView>
  </sheetViews>
  <sheetFormatPr defaultRowHeight="15" x14ac:dyDescent="0.25"/>
  <cols>
    <col min="9" max="9" width="7.28515625" customWidth="1"/>
    <col min="10" max="10" width="11.42578125" customWidth="1"/>
    <col min="11" max="11" width="15" customWidth="1"/>
    <col min="12" max="12" width="2.7109375" hidden="1" customWidth="1"/>
  </cols>
  <sheetData>
    <row r="1" spans="1:11" x14ac:dyDescent="0.25">
      <c r="A1" s="597"/>
      <c r="B1" s="597"/>
      <c r="C1" s="597"/>
      <c r="D1" s="597"/>
      <c r="E1" s="597"/>
      <c r="F1" s="597"/>
      <c r="G1" s="597"/>
      <c r="H1" s="597"/>
      <c r="I1" s="597"/>
      <c r="J1" s="597"/>
      <c r="K1" s="597"/>
    </row>
    <row r="2" spans="1:11" x14ac:dyDescent="0.25">
      <c r="A2" s="597"/>
      <c r="B2" s="597"/>
      <c r="C2" s="597"/>
      <c r="D2" s="597"/>
      <c r="E2" s="597"/>
      <c r="F2" s="597"/>
      <c r="G2" s="597"/>
      <c r="H2" s="597"/>
      <c r="I2" s="597"/>
      <c r="J2" s="597"/>
      <c r="K2" s="597"/>
    </row>
    <row r="3" spans="1:11" x14ac:dyDescent="0.25">
      <c r="A3" s="597"/>
      <c r="B3" s="597"/>
      <c r="C3" s="597"/>
      <c r="D3" s="597"/>
      <c r="E3" s="597"/>
      <c r="F3" s="597"/>
      <c r="G3" s="597"/>
      <c r="H3" s="597"/>
      <c r="I3" s="597"/>
      <c r="J3" s="597"/>
      <c r="K3" s="597"/>
    </row>
    <row r="4" spans="1:11" x14ac:dyDescent="0.25">
      <c r="A4" s="597"/>
      <c r="B4" s="597"/>
      <c r="C4" s="597"/>
      <c r="D4" s="597"/>
      <c r="E4" s="597"/>
      <c r="F4" s="597"/>
      <c r="G4" s="597"/>
      <c r="H4" s="597"/>
      <c r="I4" s="597"/>
      <c r="J4" s="597"/>
      <c r="K4" s="597"/>
    </row>
    <row r="5" spans="1:11" x14ac:dyDescent="0.25">
      <c r="A5" s="597"/>
      <c r="B5" s="597"/>
      <c r="C5" s="597"/>
      <c r="D5" s="597"/>
      <c r="E5" s="597"/>
      <c r="F5" s="597"/>
      <c r="G5" s="597"/>
      <c r="H5" s="597"/>
      <c r="I5" s="597"/>
      <c r="J5" s="597"/>
      <c r="K5" s="597"/>
    </row>
    <row r="6" spans="1:11" x14ac:dyDescent="0.25">
      <c r="A6" s="597"/>
      <c r="B6" s="597"/>
      <c r="C6" s="597"/>
      <c r="D6" s="597"/>
      <c r="E6" s="597"/>
      <c r="F6" s="597"/>
      <c r="G6" s="597"/>
      <c r="H6" s="597"/>
      <c r="I6" s="597"/>
      <c r="J6" s="597"/>
      <c r="K6" s="597"/>
    </row>
    <row r="7" spans="1:11" ht="19.5" x14ac:dyDescent="0.35">
      <c r="A7" s="5"/>
      <c r="B7" s="596" t="s">
        <v>606</v>
      </c>
      <c r="C7" s="596"/>
      <c r="D7" s="596"/>
      <c r="E7" s="596"/>
      <c r="F7" s="596"/>
      <c r="G7" s="596"/>
      <c r="H7" s="596"/>
      <c r="I7" s="596"/>
      <c r="J7" s="596"/>
      <c r="K7" s="1"/>
    </row>
    <row r="8" spans="1:11" ht="19.5" customHeight="1" x14ac:dyDescent="0.35">
      <c r="A8" s="5"/>
      <c r="B8" s="596" t="s">
        <v>585</v>
      </c>
      <c r="C8" s="596"/>
      <c r="D8" s="596"/>
      <c r="E8" s="596"/>
      <c r="F8" s="596"/>
      <c r="G8" s="596"/>
      <c r="H8" s="596"/>
      <c r="I8" s="596"/>
      <c r="J8" s="596"/>
      <c r="K8" s="1"/>
    </row>
    <row r="9" spans="1:11" ht="21.75" customHeight="1" thickBot="1" x14ac:dyDescent="0.4">
      <c r="A9" s="5"/>
      <c r="B9" s="41"/>
      <c r="C9" s="41"/>
      <c r="D9" s="41"/>
      <c r="E9" s="41"/>
      <c r="F9" s="41"/>
      <c r="G9" s="41"/>
      <c r="H9" s="41"/>
      <c r="I9" s="41"/>
      <c r="J9" s="41"/>
      <c r="K9" s="1"/>
    </row>
    <row r="10" spans="1:11" ht="15.75" thickBot="1" x14ac:dyDescent="0.3">
      <c r="A10" s="7" t="s">
        <v>1</v>
      </c>
      <c r="B10" s="8"/>
      <c r="C10" s="624" t="s">
        <v>628</v>
      </c>
      <c r="D10" s="625"/>
      <c r="E10" s="626"/>
      <c r="F10" s="7" t="s">
        <v>0</v>
      </c>
      <c r="G10" s="8"/>
      <c r="H10" s="620">
        <v>45805</v>
      </c>
      <c r="I10" s="621"/>
      <c r="J10" s="622"/>
      <c r="K10" s="3"/>
    </row>
    <row r="11" spans="1:11" ht="8.25" customHeight="1" thickBot="1" x14ac:dyDescent="0.3">
      <c r="A11" s="9"/>
      <c r="B11" s="9"/>
      <c r="C11" s="9"/>
      <c r="D11" s="9"/>
      <c r="E11" s="9"/>
      <c r="F11" s="10"/>
      <c r="G11" s="11"/>
      <c r="H11" s="623"/>
      <c r="I11" s="623"/>
      <c r="J11" s="12"/>
      <c r="K11" s="3"/>
    </row>
    <row r="12" spans="1:11" ht="15.75" customHeight="1" thickBot="1" x14ac:dyDescent="0.3">
      <c r="A12" s="13" t="s">
        <v>63</v>
      </c>
      <c r="B12" s="627" t="s">
        <v>2</v>
      </c>
      <c r="C12" s="628"/>
      <c r="D12" s="628"/>
      <c r="E12" s="629"/>
      <c r="F12" s="10"/>
      <c r="G12" s="11"/>
      <c r="H12" s="14"/>
      <c r="I12" s="14"/>
      <c r="J12" s="12"/>
      <c r="K12" s="3"/>
    </row>
    <row r="13" spans="1:11" ht="15.75" customHeight="1" thickBot="1" x14ac:dyDescent="0.3">
      <c r="A13" s="37"/>
      <c r="B13" s="513"/>
      <c r="C13" s="513"/>
      <c r="D13" s="513"/>
      <c r="E13" s="513"/>
      <c r="F13" s="10"/>
      <c r="G13" s="11"/>
      <c r="H13" s="14"/>
      <c r="I13" s="14"/>
      <c r="J13" s="12"/>
      <c r="K13" s="3"/>
    </row>
    <row r="14" spans="1:11" ht="15.75" customHeight="1" thickBot="1" x14ac:dyDescent="0.3">
      <c r="A14" s="636" t="s">
        <v>608</v>
      </c>
      <c r="B14" s="637"/>
      <c r="C14" s="637"/>
      <c r="D14" s="637"/>
      <c r="E14" s="638"/>
      <c r="F14" s="523"/>
      <c r="G14" s="11"/>
      <c r="H14" s="14"/>
      <c r="I14" s="14"/>
      <c r="J14" s="12"/>
      <c r="K14" s="3"/>
    </row>
    <row r="15" spans="1:11" x14ac:dyDescent="0.25">
      <c r="A15" s="524" t="s">
        <v>4</v>
      </c>
      <c r="B15" s="525" t="s">
        <v>74</v>
      </c>
      <c r="C15" s="526"/>
      <c r="D15" s="526"/>
      <c r="E15" s="526"/>
      <c r="F15" s="523"/>
      <c r="G15" s="11"/>
      <c r="H15" s="14"/>
      <c r="I15" s="14"/>
      <c r="J15" s="12"/>
      <c r="K15" s="3"/>
    </row>
    <row r="16" spans="1:11" ht="20.25" customHeight="1" x14ac:dyDescent="0.25">
      <c r="A16" s="524" t="s">
        <v>5</v>
      </c>
      <c r="B16" s="525" t="s">
        <v>85</v>
      </c>
      <c r="C16" s="526"/>
      <c r="D16" s="526"/>
      <c r="E16" s="526"/>
      <c r="F16" s="523"/>
      <c r="G16" s="11"/>
      <c r="H16" s="14"/>
      <c r="I16" s="14"/>
      <c r="J16" s="12"/>
      <c r="K16" s="3"/>
    </row>
    <row r="17" spans="1:11" ht="19.5" customHeight="1" x14ac:dyDescent="0.25">
      <c r="A17" s="527" t="s">
        <v>6</v>
      </c>
      <c r="B17" s="601" t="s">
        <v>3</v>
      </c>
      <c r="C17" s="601"/>
      <c r="D17" s="601"/>
      <c r="E17" s="601"/>
      <c r="F17" s="528"/>
      <c r="G17" s="6"/>
      <c r="H17" s="6"/>
      <c r="I17" s="6"/>
      <c r="J17" s="6"/>
      <c r="K17" s="2"/>
    </row>
    <row r="18" spans="1:11" ht="19.5" customHeight="1" x14ac:dyDescent="0.25">
      <c r="A18" s="527" t="s">
        <v>9</v>
      </c>
      <c r="B18" s="601" t="s">
        <v>7</v>
      </c>
      <c r="C18" s="601"/>
      <c r="D18" s="601"/>
      <c r="E18" s="601"/>
      <c r="F18" s="528"/>
      <c r="G18" s="6"/>
      <c r="H18" s="6"/>
      <c r="I18" s="6"/>
      <c r="J18" s="6"/>
      <c r="K18" s="2"/>
    </row>
    <row r="19" spans="1:11" ht="19.5" customHeight="1" x14ac:dyDescent="0.25">
      <c r="A19" s="524" t="s">
        <v>75</v>
      </c>
      <c r="B19" s="529" t="s">
        <v>165</v>
      </c>
      <c r="C19" s="529"/>
      <c r="D19" s="529"/>
      <c r="E19" s="529"/>
      <c r="F19" s="528"/>
      <c r="G19" s="6"/>
      <c r="H19" s="6"/>
      <c r="I19" s="6"/>
      <c r="J19" s="6"/>
      <c r="K19" s="2"/>
    </row>
    <row r="20" spans="1:11" ht="17.25" customHeight="1" x14ac:dyDescent="0.25">
      <c r="A20" s="524" t="s">
        <v>90</v>
      </c>
      <c r="B20" s="602" t="s">
        <v>8</v>
      </c>
      <c r="C20" s="602"/>
      <c r="D20" s="602"/>
      <c r="E20" s="602"/>
      <c r="F20" s="515"/>
      <c r="G20" s="9"/>
      <c r="H20" s="9"/>
      <c r="I20" s="9"/>
      <c r="J20" s="9"/>
    </row>
    <row r="21" spans="1:11" ht="17.25" customHeight="1" x14ac:dyDescent="0.25">
      <c r="A21" s="524" t="s">
        <v>130</v>
      </c>
      <c r="B21" s="530" t="s">
        <v>144</v>
      </c>
      <c r="C21" s="530"/>
      <c r="D21" s="530"/>
      <c r="E21" s="530"/>
      <c r="F21" s="515"/>
      <c r="G21" s="9"/>
      <c r="H21" s="9"/>
      <c r="I21" s="9"/>
      <c r="J21" s="9"/>
      <c r="K21" s="53"/>
    </row>
    <row r="22" spans="1:11" ht="17.25" customHeight="1" x14ac:dyDescent="0.25">
      <c r="A22" s="524" t="s">
        <v>140</v>
      </c>
      <c r="B22" s="530" t="s">
        <v>159</v>
      </c>
      <c r="C22" s="530"/>
      <c r="D22" s="530"/>
      <c r="E22" s="530"/>
      <c r="F22" s="515"/>
      <c r="G22" s="9"/>
      <c r="H22" s="9"/>
      <c r="I22" s="9"/>
      <c r="J22" s="9"/>
    </row>
    <row r="23" spans="1:11" ht="17.25" customHeight="1" thickBot="1" x14ac:dyDescent="0.3">
      <c r="A23" s="524" t="s">
        <v>151</v>
      </c>
      <c r="B23" s="530" t="s">
        <v>160</v>
      </c>
      <c r="C23" s="530"/>
      <c r="D23" s="530"/>
      <c r="E23" s="530"/>
      <c r="F23" s="515"/>
      <c r="G23" s="9"/>
      <c r="H23" s="9"/>
      <c r="I23" s="9"/>
      <c r="J23" s="9"/>
      <c r="K23" s="53"/>
    </row>
    <row r="24" spans="1:11" ht="17.25" customHeight="1" thickBot="1" x14ac:dyDescent="0.3">
      <c r="A24" s="639" t="s">
        <v>591</v>
      </c>
      <c r="B24" s="640"/>
      <c r="C24" s="640"/>
      <c r="D24" s="640"/>
      <c r="E24" s="641"/>
      <c r="F24" s="515"/>
      <c r="G24" s="9"/>
      <c r="H24" s="9"/>
      <c r="I24" s="9"/>
      <c r="J24" s="9"/>
      <c r="K24" s="53"/>
    </row>
    <row r="25" spans="1:11" ht="17.25" customHeight="1" thickBot="1" x14ac:dyDescent="0.3">
      <c r="A25" s="524" t="s">
        <v>4</v>
      </c>
      <c r="B25" s="525" t="s">
        <v>589</v>
      </c>
      <c r="C25" s="526"/>
      <c r="D25" s="526"/>
      <c r="E25" s="526"/>
      <c r="F25" s="515"/>
      <c r="G25" s="9"/>
      <c r="H25" s="9"/>
      <c r="I25" s="9"/>
      <c r="J25" s="9"/>
      <c r="K25" s="53"/>
    </row>
    <row r="26" spans="1:11" ht="17.25" customHeight="1" thickBot="1" x14ac:dyDescent="0.3">
      <c r="A26" s="642" t="s">
        <v>619</v>
      </c>
      <c r="B26" s="643"/>
      <c r="C26" s="643"/>
      <c r="D26" s="643"/>
      <c r="E26" s="644"/>
      <c r="F26" s="515"/>
      <c r="G26" s="9"/>
      <c r="H26" s="9"/>
      <c r="I26" s="9"/>
      <c r="J26" s="9"/>
      <c r="K26" s="53"/>
    </row>
    <row r="27" spans="1:11" ht="17.25" customHeight="1" x14ac:dyDescent="0.25">
      <c r="A27" s="524" t="s">
        <v>4</v>
      </c>
      <c r="B27" s="525" t="s">
        <v>592</v>
      </c>
      <c r="C27" s="526"/>
      <c r="D27" s="526"/>
      <c r="E27" s="526"/>
      <c r="F27" s="515"/>
      <c r="G27" s="9"/>
      <c r="H27" s="9"/>
      <c r="I27" s="9"/>
      <c r="J27" s="9"/>
      <c r="K27" s="53"/>
    </row>
    <row r="28" spans="1:11" ht="17.25" customHeight="1" x14ac:dyDescent="0.25">
      <c r="A28" s="524" t="s">
        <v>5</v>
      </c>
      <c r="B28" s="525" t="s">
        <v>596</v>
      </c>
      <c r="C28" s="526"/>
      <c r="D28" s="526"/>
      <c r="E28" s="526"/>
      <c r="F28" s="515"/>
      <c r="G28" s="9"/>
      <c r="H28" s="9"/>
      <c r="I28" s="9"/>
      <c r="J28" s="9"/>
      <c r="K28" s="53"/>
    </row>
    <row r="29" spans="1:11" ht="17.25" customHeight="1" x14ac:dyDescent="0.25">
      <c r="A29" s="524" t="s">
        <v>6</v>
      </c>
      <c r="B29" s="525" t="s">
        <v>602</v>
      </c>
      <c r="C29" s="526"/>
      <c r="D29" s="526"/>
      <c r="E29" s="526"/>
      <c r="F29" s="515"/>
      <c r="G29" s="9"/>
      <c r="H29" s="9"/>
      <c r="I29" s="9"/>
      <c r="J29" s="9"/>
      <c r="K29" s="53"/>
    </row>
    <row r="30" spans="1:11" ht="17.25" customHeight="1" thickBot="1" x14ac:dyDescent="0.3">
      <c r="A30" s="37"/>
      <c r="B30" s="31"/>
      <c r="C30" s="31"/>
      <c r="D30" s="31"/>
      <c r="E30" s="31"/>
      <c r="F30" s="9"/>
      <c r="G30" s="9"/>
      <c r="H30" s="9"/>
      <c r="I30" s="9"/>
      <c r="J30" s="9"/>
      <c r="K30" s="53"/>
    </row>
    <row r="31" spans="1:11" ht="17.25" customHeight="1" x14ac:dyDescent="0.25">
      <c r="A31" s="615" t="s">
        <v>536</v>
      </c>
      <c r="B31" s="616"/>
      <c r="C31" s="616"/>
      <c r="D31" s="497"/>
      <c r="E31" s="497"/>
      <c r="F31" s="498"/>
      <c r="G31" s="498"/>
      <c r="H31" s="498"/>
      <c r="I31" s="498"/>
      <c r="J31" s="498"/>
      <c r="K31" s="499"/>
    </row>
    <row r="32" spans="1:11" ht="17.25" customHeight="1" x14ac:dyDescent="0.25">
      <c r="A32" s="617" t="s">
        <v>580</v>
      </c>
      <c r="B32" s="618"/>
      <c r="C32" s="618"/>
      <c r="D32" s="618"/>
      <c r="E32" s="618"/>
      <c r="F32" s="618"/>
      <c r="G32" s="618"/>
      <c r="H32" s="618"/>
      <c r="I32" s="618"/>
      <c r="J32" s="618"/>
      <c r="K32" s="619"/>
    </row>
    <row r="33" spans="1:11" ht="17.25" customHeight="1" x14ac:dyDescent="0.25">
      <c r="A33" s="617" t="s">
        <v>581</v>
      </c>
      <c r="B33" s="618"/>
      <c r="C33" s="618"/>
      <c r="D33" s="618"/>
      <c r="E33" s="618"/>
      <c r="F33" s="618"/>
      <c r="G33" s="618"/>
      <c r="H33" s="618"/>
      <c r="I33" s="618"/>
      <c r="J33" s="618"/>
      <c r="K33" s="619"/>
    </row>
    <row r="34" spans="1:11" ht="17.25" customHeight="1" x14ac:dyDescent="0.25">
      <c r="A34" s="511" t="s">
        <v>582</v>
      </c>
      <c r="B34" s="38"/>
      <c r="C34" s="38"/>
      <c r="D34" s="38"/>
      <c r="E34" s="38"/>
      <c r="F34" s="38"/>
      <c r="G34" s="38"/>
      <c r="H34" s="38"/>
      <c r="I34" s="38"/>
      <c r="J34" s="38"/>
      <c r="K34" s="512"/>
    </row>
    <row r="35" spans="1:11" ht="17.25" customHeight="1" x14ac:dyDescent="0.25">
      <c r="A35" s="511" t="s">
        <v>620</v>
      </c>
      <c r="B35" s="38"/>
      <c r="C35" s="38"/>
      <c r="D35" s="38"/>
      <c r="E35" s="38"/>
      <c r="F35" s="38"/>
      <c r="G35" s="38"/>
      <c r="H35" s="38"/>
      <c r="I35" s="38"/>
      <c r="J35" s="38"/>
      <c r="K35" s="512"/>
    </row>
    <row r="36" spans="1:11" ht="17.25" customHeight="1" x14ac:dyDescent="0.25">
      <c r="A36" s="617" t="s">
        <v>579</v>
      </c>
      <c r="B36" s="618"/>
      <c r="C36" s="618"/>
      <c r="D36" s="618"/>
      <c r="E36" s="618"/>
      <c r="F36" s="618"/>
      <c r="G36" s="618"/>
      <c r="H36" s="618"/>
      <c r="I36" s="618"/>
      <c r="J36" s="618"/>
      <c r="K36" s="619"/>
    </row>
    <row r="37" spans="1:11" ht="17.25" customHeight="1" thickBot="1" x14ac:dyDescent="0.3">
      <c r="A37" s="633"/>
      <c r="B37" s="634"/>
      <c r="C37" s="634"/>
      <c r="D37" s="634"/>
      <c r="E37" s="634"/>
      <c r="F37" s="634"/>
      <c r="G37" s="634"/>
      <c r="H37" s="634"/>
      <c r="I37" s="634"/>
      <c r="J37" s="634"/>
      <c r="K37" s="635"/>
    </row>
    <row r="38" spans="1:11" ht="23.25" customHeight="1" thickBot="1" x14ac:dyDescent="0.3">
      <c r="A38" s="37"/>
      <c r="B38" s="31"/>
      <c r="C38" s="31"/>
      <c r="D38" s="31"/>
      <c r="E38" s="31"/>
      <c r="F38" s="9"/>
      <c r="G38" s="9"/>
      <c r="H38" s="9"/>
      <c r="I38" s="9"/>
      <c r="J38" s="9"/>
    </row>
    <row r="39" spans="1:11" x14ac:dyDescent="0.25">
      <c r="A39" s="42" t="s">
        <v>4</v>
      </c>
      <c r="B39" s="603" t="s">
        <v>74</v>
      </c>
      <c r="C39" s="604"/>
      <c r="D39" s="604"/>
      <c r="E39" s="604"/>
      <c r="F39" s="604"/>
      <c r="G39" s="604"/>
      <c r="H39" s="604"/>
      <c r="I39" s="605"/>
      <c r="J39" s="42" t="s">
        <v>10</v>
      </c>
      <c r="K39" s="56" t="s">
        <v>11</v>
      </c>
    </row>
    <row r="40" spans="1:11" s="35" customFormat="1" x14ac:dyDescent="0.25">
      <c r="A40" s="17" t="s">
        <v>18</v>
      </c>
      <c r="B40" s="606" t="s">
        <v>325</v>
      </c>
      <c r="C40" s="607"/>
      <c r="D40" s="607"/>
      <c r="E40" s="607"/>
      <c r="F40" s="607"/>
      <c r="G40" s="607"/>
      <c r="H40" s="607"/>
      <c r="I40" s="608"/>
      <c r="J40" s="17" t="s">
        <v>14</v>
      </c>
      <c r="K40" s="30">
        <v>20.75</v>
      </c>
    </row>
    <row r="41" spans="1:11" s="35" customFormat="1" x14ac:dyDescent="0.25">
      <c r="A41" s="39" t="s">
        <v>19</v>
      </c>
      <c r="B41" s="598" t="s">
        <v>342</v>
      </c>
      <c r="C41" s="599"/>
      <c r="D41" s="599"/>
      <c r="E41" s="599"/>
      <c r="F41" s="599"/>
      <c r="G41" s="599"/>
      <c r="H41" s="599"/>
      <c r="I41" s="600"/>
      <c r="J41" s="40" t="s">
        <v>14</v>
      </c>
      <c r="K41" s="30">
        <v>21.02</v>
      </c>
    </row>
    <row r="42" spans="1:11" s="35" customFormat="1" ht="30" customHeight="1" x14ac:dyDescent="0.25">
      <c r="A42" s="17" t="s">
        <v>20</v>
      </c>
      <c r="B42" s="609" t="s">
        <v>338</v>
      </c>
      <c r="C42" s="610"/>
      <c r="D42" s="610"/>
      <c r="E42" s="610"/>
      <c r="F42" s="610"/>
      <c r="G42" s="610"/>
      <c r="H42" s="610"/>
      <c r="I42" s="611"/>
      <c r="J42" s="17" t="s">
        <v>14</v>
      </c>
      <c r="K42" s="30">
        <v>29.57</v>
      </c>
    </row>
    <row r="43" spans="1:11" x14ac:dyDescent="0.25">
      <c r="A43" s="17" t="s">
        <v>123</v>
      </c>
      <c r="B43" s="559" t="s">
        <v>157</v>
      </c>
      <c r="C43" s="560"/>
      <c r="D43" s="560"/>
      <c r="E43" s="560"/>
      <c r="F43" s="560"/>
      <c r="G43" s="560"/>
      <c r="H43" s="560"/>
      <c r="I43" s="561"/>
      <c r="J43" s="21" t="s">
        <v>14</v>
      </c>
      <c r="K43" s="32">
        <v>2.08</v>
      </c>
    </row>
    <row r="44" spans="1:11" ht="15.75" thickBot="1" x14ac:dyDescent="0.3">
      <c r="A44" s="4"/>
    </row>
    <row r="45" spans="1:11" x14ac:dyDescent="0.25">
      <c r="A45" s="42" t="s">
        <v>5</v>
      </c>
      <c r="B45" s="612" t="s">
        <v>85</v>
      </c>
      <c r="C45" s="613"/>
      <c r="D45" s="613"/>
      <c r="E45" s="613"/>
      <c r="F45" s="613"/>
      <c r="G45" s="613"/>
      <c r="H45" s="613"/>
      <c r="I45" s="613"/>
      <c r="J45" s="614"/>
      <c r="K45" s="43" t="s">
        <v>111</v>
      </c>
    </row>
    <row r="46" spans="1:11" s="35" customFormat="1" x14ac:dyDescent="0.25">
      <c r="A46" s="17" t="s">
        <v>114</v>
      </c>
      <c r="B46" s="598" t="s">
        <v>490</v>
      </c>
      <c r="C46" s="599"/>
      <c r="D46" s="599"/>
      <c r="E46" s="599"/>
      <c r="F46" s="599"/>
      <c r="G46" s="599"/>
      <c r="H46" s="599"/>
      <c r="I46" s="599"/>
      <c r="J46" s="600"/>
      <c r="K46" s="17" t="s">
        <v>112</v>
      </c>
    </row>
    <row r="47" spans="1:11" s="35" customFormat="1" x14ac:dyDescent="0.25">
      <c r="A47" s="39" t="s">
        <v>115</v>
      </c>
      <c r="B47" s="598" t="s">
        <v>484</v>
      </c>
      <c r="C47" s="599"/>
      <c r="D47" s="599"/>
      <c r="E47" s="599"/>
      <c r="F47" s="599"/>
      <c r="G47" s="599"/>
      <c r="H47" s="599"/>
      <c r="I47" s="599"/>
      <c r="J47" s="600"/>
      <c r="K47" s="17" t="s">
        <v>113</v>
      </c>
    </row>
    <row r="48" spans="1:11" s="35" customFormat="1" x14ac:dyDescent="0.25">
      <c r="A48" s="17" t="s">
        <v>116</v>
      </c>
      <c r="B48" s="598" t="s">
        <v>483</v>
      </c>
      <c r="C48" s="599"/>
      <c r="D48" s="599"/>
      <c r="E48" s="599"/>
      <c r="F48" s="599"/>
      <c r="G48" s="599"/>
      <c r="H48" s="599"/>
      <c r="I48" s="599"/>
      <c r="J48" s="600"/>
      <c r="K48" s="17" t="s">
        <v>113</v>
      </c>
    </row>
    <row r="49" spans="1:11" s="35" customFormat="1" x14ac:dyDescent="0.25">
      <c r="A49" s="17" t="s">
        <v>117</v>
      </c>
      <c r="B49" s="598" t="s">
        <v>485</v>
      </c>
      <c r="C49" s="599"/>
      <c r="D49" s="599"/>
      <c r="E49" s="599"/>
      <c r="F49" s="599"/>
      <c r="G49" s="599"/>
      <c r="H49" s="599"/>
      <c r="I49" s="599"/>
      <c r="J49" s="600"/>
      <c r="K49" s="17" t="s">
        <v>486</v>
      </c>
    </row>
    <row r="50" spans="1:11" s="35" customFormat="1" x14ac:dyDescent="0.25">
      <c r="A50" s="17" t="s">
        <v>118</v>
      </c>
      <c r="B50" s="598" t="s">
        <v>503</v>
      </c>
      <c r="C50" s="599"/>
      <c r="D50" s="599"/>
      <c r="E50" s="599"/>
      <c r="F50" s="599"/>
      <c r="G50" s="599"/>
      <c r="H50" s="599"/>
      <c r="I50" s="599"/>
      <c r="J50" s="600"/>
      <c r="K50" s="17" t="s">
        <v>119</v>
      </c>
    </row>
    <row r="51" spans="1:11" s="35" customFormat="1" x14ac:dyDescent="0.25">
      <c r="A51" s="39" t="s">
        <v>487</v>
      </c>
      <c r="B51" s="598" t="s">
        <v>502</v>
      </c>
      <c r="C51" s="599"/>
      <c r="D51" s="599"/>
      <c r="E51" s="599"/>
      <c r="F51" s="599"/>
      <c r="G51" s="599"/>
      <c r="H51" s="599"/>
      <c r="I51" s="599"/>
      <c r="J51" s="600"/>
      <c r="K51" s="17" t="s">
        <v>119</v>
      </c>
    </row>
    <row r="52" spans="1:11" s="35" customFormat="1" x14ac:dyDescent="0.25">
      <c r="A52" s="39" t="s">
        <v>488</v>
      </c>
      <c r="B52" s="598" t="s">
        <v>496</v>
      </c>
      <c r="C52" s="599"/>
      <c r="D52" s="599"/>
      <c r="E52" s="599"/>
      <c r="F52" s="599"/>
      <c r="G52" s="599"/>
      <c r="H52" s="599"/>
      <c r="I52" s="599"/>
      <c r="J52" s="600"/>
      <c r="K52" s="17" t="s">
        <v>495</v>
      </c>
    </row>
    <row r="53" spans="1:11" s="35" customFormat="1" x14ac:dyDescent="0.25">
      <c r="A53" s="39" t="s">
        <v>489</v>
      </c>
      <c r="B53" s="598" t="s">
        <v>491</v>
      </c>
      <c r="C53" s="599"/>
      <c r="D53" s="599"/>
      <c r="E53" s="599"/>
      <c r="F53" s="599"/>
      <c r="G53" s="599"/>
      <c r="H53" s="599"/>
      <c r="I53" s="599"/>
      <c r="J53" s="600"/>
      <c r="K53" s="17" t="s">
        <v>120</v>
      </c>
    </row>
    <row r="54" spans="1:11" s="35" customFormat="1" x14ac:dyDescent="0.25">
      <c r="A54" s="39" t="s">
        <v>498</v>
      </c>
      <c r="B54" s="598" t="s">
        <v>497</v>
      </c>
      <c r="C54" s="599"/>
      <c r="D54" s="599"/>
      <c r="E54" s="599"/>
      <c r="F54" s="599"/>
      <c r="G54" s="599"/>
      <c r="H54" s="599"/>
      <c r="I54" s="599"/>
      <c r="J54" s="600"/>
      <c r="K54" s="17" t="s">
        <v>494</v>
      </c>
    </row>
    <row r="55" spans="1:11" s="35" customFormat="1" x14ac:dyDescent="0.25">
      <c r="A55" s="39" t="s">
        <v>499</v>
      </c>
      <c r="B55" s="598" t="s">
        <v>492</v>
      </c>
      <c r="C55" s="599"/>
      <c r="D55" s="599"/>
      <c r="E55" s="599"/>
      <c r="F55" s="599"/>
      <c r="G55" s="599"/>
      <c r="H55" s="599"/>
      <c r="I55" s="599"/>
      <c r="J55" s="600"/>
      <c r="K55" s="17" t="s">
        <v>494</v>
      </c>
    </row>
    <row r="56" spans="1:11" s="35" customFormat="1" x14ac:dyDescent="0.25">
      <c r="A56" s="39" t="s">
        <v>500</v>
      </c>
      <c r="B56" s="598" t="s">
        <v>501</v>
      </c>
      <c r="C56" s="599"/>
      <c r="D56" s="599"/>
      <c r="E56" s="599"/>
      <c r="F56" s="599"/>
      <c r="G56" s="599"/>
      <c r="H56" s="599"/>
      <c r="I56" s="599"/>
      <c r="J56" s="600"/>
      <c r="K56" s="17" t="s">
        <v>494</v>
      </c>
    </row>
    <row r="57" spans="1:11" s="35" customFormat="1" x14ac:dyDescent="0.25">
      <c r="A57" s="39" t="s">
        <v>504</v>
      </c>
      <c r="B57" s="598" t="s">
        <v>493</v>
      </c>
      <c r="C57" s="599"/>
      <c r="D57" s="599"/>
      <c r="E57" s="599"/>
      <c r="F57" s="599"/>
      <c r="G57" s="599"/>
      <c r="H57" s="599"/>
      <c r="I57" s="599"/>
      <c r="J57" s="600"/>
      <c r="K57" s="17" t="s">
        <v>495</v>
      </c>
    </row>
    <row r="58" spans="1:11" ht="15.75" thickBot="1" x14ac:dyDescent="0.3">
      <c r="A58" s="4"/>
    </row>
    <row r="59" spans="1:11" ht="15.75" thickBot="1" x14ac:dyDescent="0.3">
      <c r="A59" s="42" t="s">
        <v>6</v>
      </c>
      <c r="B59" s="577" t="s">
        <v>3</v>
      </c>
      <c r="C59" s="578"/>
      <c r="D59" s="578"/>
      <c r="E59" s="578"/>
      <c r="F59" s="578"/>
      <c r="G59" s="578"/>
      <c r="H59" s="578"/>
      <c r="I59" s="579"/>
      <c r="J59" s="44" t="s">
        <v>10</v>
      </c>
      <c r="K59" s="44" t="s">
        <v>11</v>
      </c>
    </row>
    <row r="60" spans="1:11" x14ac:dyDescent="0.25">
      <c r="A60" s="17" t="s">
        <v>26</v>
      </c>
      <c r="B60" s="630" t="s">
        <v>12</v>
      </c>
      <c r="C60" s="631"/>
      <c r="D60" s="631"/>
      <c r="E60" s="631"/>
      <c r="F60" s="631"/>
      <c r="G60" s="631"/>
      <c r="H60" s="631"/>
      <c r="I60" s="632"/>
      <c r="J60" s="15" t="s">
        <v>14</v>
      </c>
      <c r="K60" s="30">
        <v>27.55</v>
      </c>
    </row>
    <row r="61" spans="1:11" x14ac:dyDescent="0.25">
      <c r="A61" s="17" t="s">
        <v>624</v>
      </c>
      <c r="B61" s="569" t="s">
        <v>613</v>
      </c>
      <c r="C61" s="569"/>
      <c r="D61" s="569"/>
      <c r="E61" s="569"/>
      <c r="F61" s="569"/>
      <c r="G61" s="569"/>
      <c r="H61" s="569"/>
      <c r="I61" s="645"/>
      <c r="J61" s="15" t="s">
        <v>543</v>
      </c>
      <c r="K61" s="30">
        <v>1.3775000000000002</v>
      </c>
    </row>
    <row r="62" spans="1:11" x14ac:dyDescent="0.25">
      <c r="A62" s="17" t="s">
        <v>27</v>
      </c>
      <c r="B62" s="568" t="s">
        <v>15</v>
      </c>
      <c r="C62" s="568"/>
      <c r="D62" s="568"/>
      <c r="E62" s="568"/>
      <c r="F62" s="568"/>
      <c r="G62" s="568"/>
      <c r="H62" s="568"/>
      <c r="I62" s="568"/>
      <c r="J62" s="21" t="s">
        <v>14</v>
      </c>
      <c r="K62" s="32">
        <v>35.020000000000003</v>
      </c>
    </row>
    <row r="63" spans="1:11" x14ac:dyDescent="0.25">
      <c r="A63" s="17" t="s">
        <v>28</v>
      </c>
      <c r="B63" s="562" t="s">
        <v>13</v>
      </c>
      <c r="C63" s="563"/>
      <c r="D63" s="563"/>
      <c r="E63" s="563"/>
      <c r="F63" s="563"/>
      <c r="G63" s="563"/>
      <c r="H63" s="563"/>
      <c r="I63" s="564"/>
      <c r="J63" s="15" t="s">
        <v>14</v>
      </c>
      <c r="K63" s="30">
        <v>33.81</v>
      </c>
    </row>
    <row r="64" spans="1:11" x14ac:dyDescent="0.25">
      <c r="A64" s="17" t="s">
        <v>29</v>
      </c>
      <c r="B64" s="559" t="s">
        <v>318</v>
      </c>
      <c r="C64" s="560"/>
      <c r="D64" s="560"/>
      <c r="E64" s="560"/>
      <c r="F64" s="560"/>
      <c r="G64" s="560"/>
      <c r="H64" s="560"/>
      <c r="I64" s="561"/>
      <c r="J64" s="15" t="s">
        <v>14</v>
      </c>
      <c r="K64" s="30">
        <v>46.53</v>
      </c>
    </row>
    <row r="65" spans="1:11" x14ac:dyDescent="0.25">
      <c r="A65" s="17" t="s">
        <v>30</v>
      </c>
      <c r="B65" s="559" t="s">
        <v>511</v>
      </c>
      <c r="C65" s="560"/>
      <c r="D65" s="560"/>
      <c r="E65" s="560"/>
      <c r="F65" s="560"/>
      <c r="G65" s="560"/>
      <c r="H65" s="560"/>
      <c r="I65" s="561"/>
      <c r="J65" s="15" t="s">
        <v>14</v>
      </c>
      <c r="K65" s="30">
        <v>50.03</v>
      </c>
    </row>
    <row r="66" spans="1:11" x14ac:dyDescent="0.25">
      <c r="A66" s="17" t="s">
        <v>31</v>
      </c>
      <c r="B66" s="562" t="s">
        <v>319</v>
      </c>
      <c r="C66" s="563"/>
      <c r="D66" s="563"/>
      <c r="E66" s="563"/>
      <c r="F66" s="563"/>
      <c r="G66" s="563"/>
      <c r="H66" s="563"/>
      <c r="I66" s="564"/>
      <c r="J66" s="15" t="s">
        <v>14</v>
      </c>
      <c r="K66" s="30">
        <v>58.97</v>
      </c>
    </row>
    <row r="67" spans="1:11" x14ac:dyDescent="0.25">
      <c r="A67" s="17" t="s">
        <v>32</v>
      </c>
      <c r="B67" s="559" t="s">
        <v>320</v>
      </c>
      <c r="C67" s="560"/>
      <c r="D67" s="560"/>
      <c r="E67" s="560"/>
      <c r="F67" s="560"/>
      <c r="G67" s="560"/>
      <c r="H67" s="560"/>
      <c r="I67" s="561"/>
      <c r="J67" s="21" t="s">
        <v>14</v>
      </c>
      <c r="K67" s="32">
        <v>61.8</v>
      </c>
    </row>
    <row r="68" spans="1:11" x14ac:dyDescent="0.25">
      <c r="A68" s="17" t="s">
        <v>34</v>
      </c>
      <c r="B68" s="562" t="s">
        <v>339</v>
      </c>
      <c r="C68" s="563"/>
      <c r="D68" s="563"/>
      <c r="E68" s="563"/>
      <c r="F68" s="563"/>
      <c r="G68" s="563"/>
      <c r="H68" s="563"/>
      <c r="I68" s="564"/>
      <c r="J68" s="15" t="s">
        <v>14</v>
      </c>
      <c r="K68" s="30">
        <v>72.180000000000007</v>
      </c>
    </row>
    <row r="69" spans="1:11" x14ac:dyDescent="0.25">
      <c r="A69" s="17" t="s">
        <v>35</v>
      </c>
      <c r="B69" s="559" t="s">
        <v>25</v>
      </c>
      <c r="C69" s="560"/>
      <c r="D69" s="560"/>
      <c r="E69" s="560"/>
      <c r="F69" s="560"/>
      <c r="G69" s="560"/>
      <c r="H69" s="560"/>
      <c r="I69" s="561"/>
      <c r="J69" s="21" t="s">
        <v>14</v>
      </c>
      <c r="K69" s="32">
        <v>54.53</v>
      </c>
    </row>
    <row r="70" spans="1:11" x14ac:dyDescent="0.25">
      <c r="A70" s="17" t="s">
        <v>44</v>
      </c>
      <c r="B70" s="559" t="s">
        <v>71</v>
      </c>
      <c r="C70" s="560"/>
      <c r="D70" s="560"/>
      <c r="E70" s="560"/>
      <c r="F70" s="560"/>
      <c r="G70" s="560"/>
      <c r="H70" s="560"/>
      <c r="I70" s="561"/>
      <c r="J70" s="21" t="s">
        <v>14</v>
      </c>
      <c r="K70" s="32">
        <v>96.6</v>
      </c>
    </row>
    <row r="71" spans="1:11" x14ac:dyDescent="0.25">
      <c r="A71" s="17" t="s">
        <v>45</v>
      </c>
      <c r="B71" s="559" t="s">
        <v>625</v>
      </c>
      <c r="C71" s="560"/>
      <c r="D71" s="560"/>
      <c r="E71" s="560"/>
      <c r="F71" s="560"/>
      <c r="G71" s="560"/>
      <c r="H71" s="560"/>
      <c r="I71" s="561"/>
      <c r="J71" s="15" t="s">
        <v>14</v>
      </c>
      <c r="K71" s="30">
        <v>81.08</v>
      </c>
    </row>
    <row r="72" spans="1:11" x14ac:dyDescent="0.25">
      <c r="A72" s="17" t="s">
        <v>46</v>
      </c>
      <c r="B72" s="559" t="s">
        <v>472</v>
      </c>
      <c r="C72" s="560"/>
      <c r="D72" s="560"/>
      <c r="E72" s="560"/>
      <c r="F72" s="560"/>
      <c r="G72" s="560"/>
      <c r="H72" s="560"/>
      <c r="I72" s="561"/>
      <c r="J72" s="15" t="s">
        <v>14</v>
      </c>
      <c r="K72" s="30">
        <v>55.92</v>
      </c>
    </row>
    <row r="73" spans="1:11" x14ac:dyDescent="0.25">
      <c r="A73" s="17" t="s">
        <v>47</v>
      </c>
      <c r="B73" s="563" t="s">
        <v>16</v>
      </c>
      <c r="C73" s="563"/>
      <c r="D73" s="563"/>
      <c r="E73" s="563"/>
      <c r="F73" s="563"/>
      <c r="G73" s="563"/>
      <c r="H73" s="563"/>
      <c r="I73" s="564"/>
      <c r="J73" s="15" t="s">
        <v>14</v>
      </c>
      <c r="K73" s="30">
        <v>82.28</v>
      </c>
    </row>
    <row r="74" spans="1:11" x14ac:dyDescent="0.25">
      <c r="A74" s="17" t="s">
        <v>49</v>
      </c>
      <c r="B74" s="559" t="s">
        <v>321</v>
      </c>
      <c r="C74" s="560"/>
      <c r="D74" s="560"/>
      <c r="E74" s="560"/>
      <c r="F74" s="560"/>
      <c r="G74" s="560"/>
      <c r="H74" s="560"/>
      <c r="I74" s="561"/>
      <c r="J74" s="21" t="s">
        <v>14</v>
      </c>
      <c r="K74" s="32">
        <v>83.65</v>
      </c>
    </row>
    <row r="75" spans="1:11" x14ac:dyDescent="0.25">
      <c r="A75" s="17" t="s">
        <v>626</v>
      </c>
      <c r="B75" s="559" t="s">
        <v>614</v>
      </c>
      <c r="C75" s="560"/>
      <c r="D75" s="560"/>
      <c r="E75" s="560"/>
      <c r="F75" s="560"/>
      <c r="G75" s="560"/>
      <c r="H75" s="560"/>
      <c r="I75" s="561"/>
      <c r="J75" s="21" t="s">
        <v>543</v>
      </c>
      <c r="K75" s="30">
        <v>5.0030000000000001</v>
      </c>
    </row>
    <row r="76" spans="1:11" x14ac:dyDescent="0.25">
      <c r="A76" s="17" t="s">
        <v>471</v>
      </c>
      <c r="B76" s="562" t="s">
        <v>572</v>
      </c>
      <c r="C76" s="563"/>
      <c r="D76" s="563"/>
      <c r="E76" s="563"/>
      <c r="F76" s="563"/>
      <c r="G76" s="563"/>
      <c r="H76" s="563"/>
      <c r="I76" s="564"/>
      <c r="J76" s="15" t="s">
        <v>14</v>
      </c>
      <c r="K76" s="30">
        <v>41.11</v>
      </c>
    </row>
    <row r="77" spans="1:11" x14ac:dyDescent="0.25">
      <c r="A77" s="17" t="s">
        <v>510</v>
      </c>
      <c r="B77" s="559" t="s">
        <v>573</v>
      </c>
      <c r="C77" s="560"/>
      <c r="D77" s="560"/>
      <c r="E77" s="560"/>
      <c r="F77" s="560"/>
      <c r="G77" s="560"/>
      <c r="H77" s="560"/>
      <c r="I77" s="561"/>
      <c r="J77" s="15" t="s">
        <v>14</v>
      </c>
      <c r="K77" s="30">
        <v>45.53</v>
      </c>
    </row>
    <row r="78" spans="1:11" x14ac:dyDescent="0.25">
      <c r="A78" s="17" t="s">
        <v>86</v>
      </c>
      <c r="B78" s="559" t="s">
        <v>574</v>
      </c>
      <c r="C78" s="560"/>
      <c r="D78" s="560"/>
      <c r="E78" s="560"/>
      <c r="F78" s="560"/>
      <c r="G78" s="560"/>
      <c r="H78" s="560"/>
      <c r="I78" s="561"/>
      <c r="J78" s="21" t="s">
        <v>14</v>
      </c>
      <c r="K78" s="32">
        <v>49.57</v>
      </c>
    </row>
    <row r="79" spans="1:11" x14ac:dyDescent="0.25">
      <c r="A79" s="17" t="s">
        <v>87</v>
      </c>
      <c r="B79" s="559" t="s">
        <v>575</v>
      </c>
      <c r="C79" s="560"/>
      <c r="D79" s="560"/>
      <c r="E79" s="560"/>
      <c r="F79" s="560"/>
      <c r="G79" s="560"/>
      <c r="H79" s="560"/>
      <c r="I79" s="561"/>
      <c r="J79" s="21" t="s">
        <v>14</v>
      </c>
      <c r="K79" s="32">
        <v>57.97</v>
      </c>
    </row>
    <row r="80" spans="1:11" x14ac:dyDescent="0.25">
      <c r="A80" s="17" t="s">
        <v>544</v>
      </c>
      <c r="B80" s="570" t="s">
        <v>540</v>
      </c>
      <c r="C80" s="571"/>
      <c r="D80" s="571"/>
      <c r="E80" s="571"/>
      <c r="F80" s="571"/>
      <c r="G80" s="571"/>
      <c r="H80" s="571"/>
      <c r="I80" s="572"/>
      <c r="J80" s="500" t="s">
        <v>14</v>
      </c>
      <c r="K80" s="501">
        <v>59.4</v>
      </c>
    </row>
    <row r="81" spans="1:11" x14ac:dyDescent="0.25">
      <c r="A81" s="17" t="s">
        <v>545</v>
      </c>
      <c r="B81" s="570" t="s">
        <v>541</v>
      </c>
      <c r="C81" s="571"/>
      <c r="D81" s="571"/>
      <c r="E81" s="571"/>
      <c r="F81" s="571"/>
      <c r="G81" s="571"/>
      <c r="H81" s="571"/>
      <c r="I81" s="572"/>
      <c r="J81" s="500" t="s">
        <v>14</v>
      </c>
      <c r="K81" s="501">
        <v>57.2</v>
      </c>
    </row>
    <row r="82" spans="1:11" x14ac:dyDescent="0.25">
      <c r="A82" s="17" t="s">
        <v>576</v>
      </c>
      <c r="B82" s="570" t="s">
        <v>542</v>
      </c>
      <c r="C82" s="571"/>
      <c r="D82" s="571"/>
      <c r="E82" s="571"/>
      <c r="F82" s="571"/>
      <c r="G82" s="571"/>
      <c r="H82" s="571"/>
      <c r="I82" s="572"/>
      <c r="J82" s="500" t="s">
        <v>14</v>
      </c>
      <c r="K82" s="501">
        <v>49.5</v>
      </c>
    </row>
    <row r="83" spans="1:11" x14ac:dyDescent="0.25">
      <c r="A83" s="17" t="s">
        <v>612</v>
      </c>
      <c r="B83" s="570" t="s">
        <v>547</v>
      </c>
      <c r="C83" s="571"/>
      <c r="D83" s="571"/>
      <c r="E83" s="571"/>
      <c r="F83" s="571"/>
      <c r="G83" s="571"/>
      <c r="H83" s="571"/>
      <c r="I83" s="572"/>
      <c r="J83" s="500" t="s">
        <v>543</v>
      </c>
      <c r="K83" s="501">
        <v>1.54</v>
      </c>
    </row>
    <row r="84" spans="1:11" ht="16.5" customHeight="1" thickBot="1" x14ac:dyDescent="0.3">
      <c r="A84" s="18"/>
      <c r="B84" s="19"/>
      <c r="C84" s="19"/>
      <c r="D84" s="19"/>
      <c r="E84" s="19"/>
      <c r="F84" s="19"/>
      <c r="G84" s="19"/>
      <c r="H84" s="19"/>
      <c r="I84" s="19"/>
      <c r="J84" s="20"/>
      <c r="K84" s="33"/>
    </row>
    <row r="85" spans="1:11" ht="15.75" thickBot="1" x14ac:dyDescent="0.3">
      <c r="A85" s="44" t="s">
        <v>9</v>
      </c>
      <c r="B85" s="577" t="s">
        <v>7</v>
      </c>
      <c r="C85" s="578"/>
      <c r="D85" s="578"/>
      <c r="E85" s="578"/>
      <c r="F85" s="578"/>
      <c r="G85" s="578"/>
      <c r="H85" s="578"/>
      <c r="I85" s="579"/>
      <c r="J85" s="44" t="s">
        <v>10</v>
      </c>
      <c r="K85" s="45" t="s">
        <v>11</v>
      </c>
    </row>
    <row r="86" spans="1:11" x14ac:dyDescent="0.25">
      <c r="A86" s="485" t="s">
        <v>51</v>
      </c>
      <c r="B86" s="630" t="s">
        <v>33</v>
      </c>
      <c r="C86" s="631"/>
      <c r="D86" s="631"/>
      <c r="E86" s="631"/>
      <c r="F86" s="631"/>
      <c r="G86" s="631"/>
      <c r="H86" s="631"/>
      <c r="I86" s="632"/>
      <c r="J86" s="486" t="s">
        <v>14</v>
      </c>
      <c r="K86" s="487">
        <v>45.26</v>
      </c>
    </row>
    <row r="87" spans="1:11" x14ac:dyDescent="0.25">
      <c r="A87" s="488" t="s">
        <v>52</v>
      </c>
      <c r="B87" s="559" t="s">
        <v>42</v>
      </c>
      <c r="C87" s="560"/>
      <c r="D87" s="560"/>
      <c r="E87" s="560"/>
      <c r="F87" s="560"/>
      <c r="G87" s="560"/>
      <c r="H87" s="560"/>
      <c r="I87" s="561"/>
      <c r="J87" s="21" t="s">
        <v>14</v>
      </c>
      <c r="K87" s="249">
        <v>35.06</v>
      </c>
    </row>
    <row r="88" spans="1:11" x14ac:dyDescent="0.25">
      <c r="A88" s="247" t="s">
        <v>53</v>
      </c>
      <c r="B88" s="562" t="s">
        <v>43</v>
      </c>
      <c r="C88" s="563"/>
      <c r="D88" s="563"/>
      <c r="E88" s="563"/>
      <c r="F88" s="563"/>
      <c r="G88" s="563"/>
      <c r="H88" s="563"/>
      <c r="I88" s="564"/>
      <c r="J88" s="15" t="s">
        <v>14</v>
      </c>
      <c r="K88" s="248">
        <v>78.36</v>
      </c>
    </row>
    <row r="89" spans="1:11" x14ac:dyDescent="0.25">
      <c r="A89" s="488" t="s">
        <v>54</v>
      </c>
      <c r="B89" s="559" t="s">
        <v>48</v>
      </c>
      <c r="C89" s="560"/>
      <c r="D89" s="560"/>
      <c r="E89" s="560"/>
      <c r="F89" s="560"/>
      <c r="G89" s="560"/>
      <c r="H89" s="560"/>
      <c r="I89" s="561"/>
      <c r="J89" s="21" t="s">
        <v>14</v>
      </c>
      <c r="K89" s="249">
        <v>34.36</v>
      </c>
    </row>
    <row r="90" spans="1:11" x14ac:dyDescent="0.25">
      <c r="A90" s="488" t="s">
        <v>56</v>
      </c>
      <c r="B90" s="531" t="s">
        <v>605</v>
      </c>
      <c r="C90" s="532"/>
      <c r="D90" s="532"/>
      <c r="E90" s="532"/>
      <c r="F90" s="532"/>
      <c r="G90" s="532"/>
      <c r="H90" s="532"/>
      <c r="I90" s="533"/>
      <c r="J90" s="21" t="s">
        <v>14</v>
      </c>
      <c r="K90" s="249">
        <v>45.795070162090802</v>
      </c>
    </row>
    <row r="91" spans="1:11" x14ac:dyDescent="0.25">
      <c r="A91" s="502" t="s">
        <v>539</v>
      </c>
      <c r="B91" s="574" t="s">
        <v>578</v>
      </c>
      <c r="C91" s="575"/>
      <c r="D91" s="575"/>
      <c r="E91" s="575"/>
      <c r="F91" s="575"/>
      <c r="G91" s="575"/>
      <c r="H91" s="575"/>
      <c r="I91" s="576"/>
      <c r="J91" s="503" t="s">
        <v>14</v>
      </c>
      <c r="K91" s="504">
        <v>37.4</v>
      </c>
    </row>
    <row r="92" spans="1:11" x14ac:dyDescent="0.25">
      <c r="A92" s="502" t="s">
        <v>546</v>
      </c>
      <c r="B92" s="574" t="s">
        <v>548</v>
      </c>
      <c r="C92" s="575"/>
      <c r="D92" s="575"/>
      <c r="E92" s="575"/>
      <c r="F92" s="575"/>
      <c r="G92" s="575"/>
      <c r="H92" s="575"/>
      <c r="I92" s="576"/>
      <c r="J92" s="503" t="s">
        <v>14</v>
      </c>
      <c r="K92" s="504">
        <v>46.2</v>
      </c>
    </row>
    <row r="93" spans="1:11" x14ac:dyDescent="0.25">
      <c r="A93" s="502" t="s">
        <v>550</v>
      </c>
      <c r="B93" s="574" t="s">
        <v>549</v>
      </c>
      <c r="C93" s="575"/>
      <c r="D93" s="575"/>
      <c r="E93" s="575"/>
      <c r="F93" s="575"/>
      <c r="G93" s="575"/>
      <c r="H93" s="575"/>
      <c r="I93" s="576"/>
      <c r="J93" s="503" t="s">
        <v>14</v>
      </c>
      <c r="K93" s="504">
        <v>33</v>
      </c>
    </row>
    <row r="94" spans="1:11" x14ac:dyDescent="0.25">
      <c r="A94" s="502" t="s">
        <v>552</v>
      </c>
      <c r="B94" s="574" t="s">
        <v>551</v>
      </c>
      <c r="C94" s="575"/>
      <c r="D94" s="575"/>
      <c r="E94" s="575"/>
      <c r="F94" s="575"/>
      <c r="G94" s="575"/>
      <c r="H94" s="575"/>
      <c r="I94" s="576"/>
      <c r="J94" s="503" t="s">
        <v>14</v>
      </c>
      <c r="K94" s="504">
        <v>40.700000000000003</v>
      </c>
    </row>
    <row r="95" spans="1:11" x14ac:dyDescent="0.25">
      <c r="A95" s="502" t="s">
        <v>552</v>
      </c>
      <c r="B95" s="574" t="s">
        <v>553</v>
      </c>
      <c r="C95" s="575"/>
      <c r="D95" s="575"/>
      <c r="E95" s="575"/>
      <c r="F95" s="575"/>
      <c r="G95" s="575"/>
      <c r="H95" s="575"/>
      <c r="I95" s="576"/>
      <c r="J95" s="503" t="s">
        <v>14</v>
      </c>
      <c r="K95" s="504">
        <v>44</v>
      </c>
    </row>
    <row r="96" spans="1:11" x14ac:dyDescent="0.25">
      <c r="A96" s="502" t="s">
        <v>552</v>
      </c>
      <c r="B96" s="574" t="s">
        <v>554</v>
      </c>
      <c r="C96" s="575"/>
      <c r="D96" s="575"/>
      <c r="E96" s="575"/>
      <c r="F96" s="575"/>
      <c r="G96" s="575"/>
      <c r="H96" s="575"/>
      <c r="I96" s="576"/>
      <c r="J96" s="503" t="s">
        <v>14</v>
      </c>
      <c r="K96" s="504">
        <v>59.4</v>
      </c>
    </row>
    <row r="97" spans="1:11" x14ac:dyDescent="0.25">
      <c r="A97" s="502" t="s">
        <v>68</v>
      </c>
      <c r="B97" s="574" t="s">
        <v>555</v>
      </c>
      <c r="C97" s="575"/>
      <c r="D97" s="575"/>
      <c r="E97" s="575"/>
      <c r="F97" s="575"/>
      <c r="G97" s="575"/>
      <c r="H97" s="575"/>
      <c r="I97" s="576"/>
      <c r="J97" s="503" t="s">
        <v>14</v>
      </c>
      <c r="K97" s="504">
        <v>59.4</v>
      </c>
    </row>
    <row r="98" spans="1:11" x14ac:dyDescent="0.25">
      <c r="A98" s="502" t="s">
        <v>556</v>
      </c>
      <c r="B98" s="574" t="s">
        <v>557</v>
      </c>
      <c r="C98" s="575"/>
      <c r="D98" s="575"/>
      <c r="E98" s="575"/>
      <c r="F98" s="575"/>
      <c r="G98" s="575"/>
      <c r="H98" s="575"/>
      <c r="I98" s="576"/>
      <c r="J98" s="503" t="s">
        <v>14</v>
      </c>
      <c r="K98" s="504">
        <v>33</v>
      </c>
    </row>
    <row r="99" spans="1:11" x14ac:dyDescent="0.25">
      <c r="A99" s="502" t="s">
        <v>88</v>
      </c>
      <c r="B99" s="574" t="s">
        <v>560</v>
      </c>
      <c r="C99" s="575"/>
      <c r="D99" s="575"/>
      <c r="E99" s="575"/>
      <c r="F99" s="575"/>
      <c r="G99" s="575"/>
      <c r="H99" s="575"/>
      <c r="I99" s="576"/>
      <c r="J99" s="503" t="s">
        <v>14</v>
      </c>
      <c r="K99" s="504">
        <v>38.5</v>
      </c>
    </row>
    <row r="100" spans="1:11" x14ac:dyDescent="0.25">
      <c r="A100" s="502" t="s">
        <v>558</v>
      </c>
      <c r="B100" s="574" t="s">
        <v>561</v>
      </c>
      <c r="C100" s="575"/>
      <c r="D100" s="575"/>
      <c r="E100" s="575"/>
      <c r="F100" s="575"/>
      <c r="G100" s="575"/>
      <c r="H100" s="575"/>
      <c r="I100" s="576"/>
      <c r="J100" s="503" t="s">
        <v>14</v>
      </c>
      <c r="K100" s="504">
        <v>38.5</v>
      </c>
    </row>
    <row r="101" spans="1:11" x14ac:dyDescent="0.25">
      <c r="A101" s="502" t="s">
        <v>89</v>
      </c>
      <c r="B101" s="574" t="s">
        <v>562</v>
      </c>
      <c r="C101" s="575"/>
      <c r="D101" s="575"/>
      <c r="E101" s="575"/>
      <c r="F101" s="575"/>
      <c r="G101" s="575"/>
      <c r="H101" s="575"/>
      <c r="I101" s="576"/>
      <c r="J101" s="503" t="s">
        <v>14</v>
      </c>
      <c r="K101" s="504">
        <v>11</v>
      </c>
    </row>
    <row r="102" spans="1:11" x14ac:dyDescent="0.25">
      <c r="A102" s="502" t="s">
        <v>559</v>
      </c>
      <c r="B102" s="574" t="s">
        <v>563</v>
      </c>
      <c r="C102" s="575"/>
      <c r="D102" s="575"/>
      <c r="E102" s="575"/>
      <c r="F102" s="575"/>
      <c r="G102" s="575"/>
      <c r="H102" s="575"/>
      <c r="I102" s="576"/>
      <c r="J102" s="503" t="s">
        <v>14</v>
      </c>
      <c r="K102" s="504">
        <v>13.2</v>
      </c>
    </row>
    <row r="103" spans="1:11" x14ac:dyDescent="0.25">
      <c r="A103" s="35"/>
      <c r="B103" s="51"/>
      <c r="C103" s="51"/>
      <c r="D103" s="51"/>
      <c r="E103" s="51"/>
      <c r="F103" s="51"/>
      <c r="G103" s="51"/>
      <c r="H103" s="51"/>
      <c r="I103" s="51"/>
      <c r="J103" s="4"/>
      <c r="K103" s="34"/>
    </row>
    <row r="104" spans="1:11" ht="9" customHeight="1" thickBot="1" x14ac:dyDescent="0.3">
      <c r="A104" s="18"/>
      <c r="B104" s="19"/>
      <c r="C104" s="19"/>
      <c r="D104" s="19"/>
      <c r="E104" s="19"/>
      <c r="F104" s="19"/>
      <c r="G104" s="19"/>
      <c r="H104" s="19"/>
      <c r="I104" s="19"/>
      <c r="J104" s="20"/>
      <c r="K104" s="33"/>
    </row>
    <row r="105" spans="1:11" ht="15.75" thickBot="1" x14ac:dyDescent="0.3">
      <c r="A105" s="44" t="s">
        <v>75</v>
      </c>
      <c r="B105" s="577" t="s">
        <v>165</v>
      </c>
      <c r="C105" s="578"/>
      <c r="D105" s="578"/>
      <c r="E105" s="578"/>
      <c r="F105" s="578"/>
      <c r="G105" s="578"/>
      <c r="H105" s="578"/>
      <c r="I105" s="579"/>
      <c r="J105" s="44" t="s">
        <v>10</v>
      </c>
      <c r="K105" s="45" t="s">
        <v>11</v>
      </c>
    </row>
    <row r="106" spans="1:11" x14ac:dyDescent="0.25">
      <c r="A106" s="16" t="s">
        <v>76</v>
      </c>
      <c r="B106" s="559" t="s">
        <v>322</v>
      </c>
      <c r="C106" s="560"/>
      <c r="D106" s="560"/>
      <c r="E106" s="560"/>
      <c r="F106" s="560"/>
      <c r="G106" s="560"/>
      <c r="H106" s="560"/>
      <c r="I106" s="561"/>
      <c r="J106" s="15" t="s">
        <v>14</v>
      </c>
      <c r="K106" s="30">
        <v>14.38234375</v>
      </c>
    </row>
    <row r="107" spans="1:11" x14ac:dyDescent="0.25">
      <c r="A107" s="16" t="s">
        <v>77</v>
      </c>
      <c r="B107" s="559" t="s">
        <v>323</v>
      </c>
      <c r="C107" s="560"/>
      <c r="D107" s="560"/>
      <c r="E107" s="560"/>
      <c r="F107" s="560"/>
      <c r="G107" s="560"/>
      <c r="H107" s="560"/>
      <c r="I107" s="561"/>
      <c r="J107" s="15" t="s">
        <v>14</v>
      </c>
      <c r="K107" s="30">
        <v>9.2531250000000007</v>
      </c>
    </row>
    <row r="108" spans="1:11" x14ac:dyDescent="0.25">
      <c r="A108" s="16" t="s">
        <v>78</v>
      </c>
      <c r="B108" s="559" t="s">
        <v>340</v>
      </c>
      <c r="C108" s="560"/>
      <c r="D108" s="560"/>
      <c r="E108" s="560"/>
      <c r="F108" s="560"/>
      <c r="G108" s="560"/>
      <c r="H108" s="560"/>
      <c r="I108" s="561"/>
      <c r="J108" s="15" t="s">
        <v>14</v>
      </c>
      <c r="K108" s="30">
        <v>12.369374999999998</v>
      </c>
    </row>
    <row r="109" spans="1:11" x14ac:dyDescent="0.25">
      <c r="A109" s="16" t="s">
        <v>78</v>
      </c>
      <c r="B109" s="559" t="s">
        <v>341</v>
      </c>
      <c r="C109" s="560"/>
      <c r="D109" s="560"/>
      <c r="E109" s="560"/>
      <c r="F109" s="560"/>
      <c r="G109" s="560"/>
      <c r="H109" s="560"/>
      <c r="I109" s="561"/>
      <c r="J109" s="15" t="s">
        <v>14</v>
      </c>
      <c r="K109" s="30">
        <v>8.1037500000000016</v>
      </c>
    </row>
    <row r="110" spans="1:11" x14ac:dyDescent="0.25">
      <c r="A110" s="16" t="s">
        <v>79</v>
      </c>
      <c r="B110" s="559" t="s">
        <v>22</v>
      </c>
      <c r="C110" s="560"/>
      <c r="D110" s="560"/>
      <c r="E110" s="560"/>
      <c r="F110" s="560"/>
      <c r="G110" s="560"/>
      <c r="H110" s="560"/>
      <c r="I110" s="561"/>
      <c r="J110" s="15" t="s">
        <v>14</v>
      </c>
      <c r="K110" s="30">
        <v>26.975277777777777</v>
      </c>
    </row>
    <row r="111" spans="1:11" x14ac:dyDescent="0.25">
      <c r="A111" s="16" t="s">
        <v>80</v>
      </c>
      <c r="B111" s="562" t="s">
        <v>21</v>
      </c>
      <c r="C111" s="563"/>
      <c r="D111" s="563"/>
      <c r="E111" s="563"/>
      <c r="F111" s="563"/>
      <c r="G111" s="563"/>
      <c r="H111" s="563"/>
      <c r="I111" s="564"/>
      <c r="J111" s="15" t="s">
        <v>14</v>
      </c>
      <c r="K111" s="30">
        <v>9.2000000000000011</v>
      </c>
    </row>
    <row r="112" spans="1:11" x14ac:dyDescent="0.25">
      <c r="A112" s="16" t="s">
        <v>81</v>
      </c>
      <c r="B112" s="559" t="s">
        <v>219</v>
      </c>
      <c r="C112" s="560"/>
      <c r="D112" s="560"/>
      <c r="E112" s="560"/>
      <c r="F112" s="560"/>
      <c r="G112" s="560"/>
      <c r="H112" s="560"/>
      <c r="I112" s="561"/>
      <c r="J112" s="15" t="s">
        <v>14</v>
      </c>
      <c r="K112" s="30">
        <v>18.878125000000001</v>
      </c>
    </row>
    <row r="113" spans="1:11" x14ac:dyDescent="0.25">
      <c r="A113" s="16" t="s">
        <v>82</v>
      </c>
      <c r="B113" s="559" t="s">
        <v>23</v>
      </c>
      <c r="C113" s="560"/>
      <c r="D113" s="560"/>
      <c r="E113" s="560"/>
      <c r="F113" s="560"/>
      <c r="G113" s="560"/>
      <c r="H113" s="560"/>
      <c r="I113" s="561"/>
      <c r="J113" s="15" t="s">
        <v>14</v>
      </c>
      <c r="K113" s="30">
        <v>2.8875000000000002</v>
      </c>
    </row>
    <row r="114" spans="1:11" x14ac:dyDescent="0.25">
      <c r="A114" s="16" t="s">
        <v>83</v>
      </c>
      <c r="B114" s="559" t="s">
        <v>24</v>
      </c>
      <c r="C114" s="560"/>
      <c r="D114" s="560"/>
      <c r="E114" s="560"/>
      <c r="F114" s="560"/>
      <c r="G114" s="560"/>
      <c r="H114" s="560"/>
      <c r="I114" s="561"/>
      <c r="J114" s="15" t="s">
        <v>14</v>
      </c>
      <c r="K114" s="30">
        <v>7.1250000000000009</v>
      </c>
    </row>
    <row r="115" spans="1:11" x14ac:dyDescent="0.25">
      <c r="A115" s="16" t="s">
        <v>469</v>
      </c>
      <c r="B115" s="559" t="s">
        <v>470</v>
      </c>
      <c r="C115" s="560"/>
      <c r="D115" s="560"/>
      <c r="E115" s="560"/>
      <c r="F115" s="560"/>
      <c r="G115" s="560"/>
      <c r="H115" s="560"/>
      <c r="I115" s="561"/>
      <c r="J115" s="15" t="s">
        <v>14</v>
      </c>
      <c r="K115" s="30">
        <v>9.9749999999999996</v>
      </c>
    </row>
    <row r="116" spans="1:11" x14ac:dyDescent="0.25">
      <c r="A116" s="505" t="s">
        <v>564</v>
      </c>
      <c r="B116" s="574" t="s">
        <v>565</v>
      </c>
      <c r="C116" s="575"/>
      <c r="D116" s="575"/>
      <c r="E116" s="575"/>
      <c r="F116" s="575"/>
      <c r="G116" s="575"/>
      <c r="H116" s="575"/>
      <c r="I116" s="576"/>
      <c r="J116" s="500" t="s">
        <v>14</v>
      </c>
      <c r="K116" s="501">
        <v>60.5</v>
      </c>
    </row>
    <row r="117" spans="1:11" ht="13.5" customHeight="1" thickBot="1" x14ac:dyDescent="0.3">
      <c r="A117" s="4"/>
      <c r="K117" s="34"/>
    </row>
    <row r="118" spans="1:11" ht="15.75" thickBot="1" x14ac:dyDescent="0.3">
      <c r="A118" s="44" t="s">
        <v>90</v>
      </c>
      <c r="B118" s="577" t="s">
        <v>50</v>
      </c>
      <c r="C118" s="578"/>
      <c r="D118" s="578"/>
      <c r="E118" s="578"/>
      <c r="F118" s="578"/>
      <c r="G118" s="578"/>
      <c r="H118" s="578"/>
      <c r="I118" s="579"/>
      <c r="J118" s="44" t="s">
        <v>10</v>
      </c>
      <c r="K118" s="45" t="s">
        <v>11</v>
      </c>
    </row>
    <row r="119" spans="1:11" x14ac:dyDescent="0.25">
      <c r="A119" s="16" t="s">
        <v>91</v>
      </c>
      <c r="B119" s="559" t="s">
        <v>324</v>
      </c>
      <c r="C119" s="560"/>
      <c r="D119" s="560"/>
      <c r="E119" s="560"/>
      <c r="F119" s="560"/>
      <c r="G119" s="560"/>
      <c r="H119" s="560"/>
      <c r="I119" s="561"/>
      <c r="J119" s="15" t="s">
        <v>14</v>
      </c>
      <c r="K119" s="30">
        <v>14.994</v>
      </c>
    </row>
    <row r="120" spans="1:11" x14ac:dyDescent="0.25">
      <c r="A120" s="17" t="s">
        <v>92</v>
      </c>
      <c r="B120" s="568" t="s">
        <v>220</v>
      </c>
      <c r="C120" s="568"/>
      <c r="D120" s="568"/>
      <c r="E120" s="568"/>
      <c r="F120" s="568"/>
      <c r="G120" s="568"/>
      <c r="H120" s="568"/>
      <c r="I120" s="568"/>
      <c r="J120" s="21" t="s">
        <v>14</v>
      </c>
      <c r="K120" s="32">
        <v>22.137640350877192</v>
      </c>
    </row>
    <row r="121" spans="1:11" x14ac:dyDescent="0.25">
      <c r="A121" s="16" t="s">
        <v>93</v>
      </c>
      <c r="B121" s="568" t="s">
        <v>67</v>
      </c>
      <c r="C121" s="568"/>
      <c r="D121" s="568"/>
      <c r="E121" s="568"/>
      <c r="F121" s="568"/>
      <c r="G121" s="568"/>
      <c r="H121" s="568"/>
      <c r="I121" s="568"/>
      <c r="J121" s="21" t="s">
        <v>14</v>
      </c>
      <c r="K121" s="32">
        <v>8.6178749999999997</v>
      </c>
    </row>
    <row r="122" spans="1:11" x14ac:dyDescent="0.25">
      <c r="A122" s="17" t="s">
        <v>94</v>
      </c>
      <c r="B122" s="568" t="s">
        <v>55</v>
      </c>
      <c r="C122" s="568"/>
      <c r="D122" s="568"/>
      <c r="E122" s="568"/>
      <c r="F122" s="568"/>
      <c r="G122" s="568"/>
      <c r="H122" s="568"/>
      <c r="I122" s="568"/>
      <c r="J122" s="21" t="s">
        <v>14</v>
      </c>
      <c r="K122" s="32">
        <v>7.8251250000000008</v>
      </c>
    </row>
    <row r="123" spans="1:11" x14ac:dyDescent="0.25">
      <c r="A123" s="16" t="s">
        <v>95</v>
      </c>
      <c r="B123" s="568" t="s">
        <v>57</v>
      </c>
      <c r="C123" s="568"/>
      <c r="D123" s="568"/>
      <c r="E123" s="568"/>
      <c r="F123" s="568"/>
      <c r="G123" s="568"/>
      <c r="H123" s="568"/>
      <c r="I123" s="568"/>
      <c r="J123" s="21" t="s">
        <v>14</v>
      </c>
      <c r="K123" s="32">
        <v>7.8251250000000008</v>
      </c>
    </row>
    <row r="124" spans="1:11" x14ac:dyDescent="0.25">
      <c r="A124" s="17" t="s">
        <v>96</v>
      </c>
      <c r="B124" s="573" t="s">
        <v>58</v>
      </c>
      <c r="C124" s="573"/>
      <c r="D124" s="573"/>
      <c r="E124" s="573"/>
      <c r="F124" s="573"/>
      <c r="G124" s="573"/>
      <c r="H124" s="573"/>
      <c r="I124" s="573"/>
      <c r="J124" s="15" t="s">
        <v>14</v>
      </c>
      <c r="K124" s="30">
        <v>7.8251250000000008</v>
      </c>
    </row>
    <row r="125" spans="1:11" x14ac:dyDescent="0.25">
      <c r="A125" s="17" t="s">
        <v>97</v>
      </c>
      <c r="B125" s="559" t="s">
        <v>69</v>
      </c>
      <c r="C125" s="560"/>
      <c r="D125" s="560"/>
      <c r="E125" s="560"/>
      <c r="F125" s="560"/>
      <c r="G125" s="560"/>
      <c r="H125" s="560"/>
      <c r="I125" s="561"/>
      <c r="J125" s="36" t="s">
        <v>14</v>
      </c>
      <c r="K125" s="32">
        <v>9.6783749999999991</v>
      </c>
    </row>
    <row r="126" spans="1:11" x14ac:dyDescent="0.25">
      <c r="A126" s="17" t="s">
        <v>98</v>
      </c>
      <c r="B126" s="559" t="s">
        <v>70</v>
      </c>
      <c r="C126" s="560"/>
      <c r="D126" s="560"/>
      <c r="E126" s="560"/>
      <c r="F126" s="560"/>
      <c r="G126" s="560"/>
      <c r="H126" s="560"/>
      <c r="I126" s="561"/>
      <c r="J126" s="36" t="s">
        <v>14</v>
      </c>
      <c r="K126" s="32">
        <v>9.4057250000000003</v>
      </c>
    </row>
    <row r="127" spans="1:11" x14ac:dyDescent="0.25">
      <c r="A127" s="16" t="s">
        <v>99</v>
      </c>
      <c r="B127" s="573" t="s">
        <v>398</v>
      </c>
      <c r="C127" s="573"/>
      <c r="D127" s="573"/>
      <c r="E127" s="573"/>
      <c r="F127" s="573"/>
      <c r="G127" s="573"/>
      <c r="H127" s="573"/>
      <c r="I127" s="573"/>
      <c r="J127" s="489" t="s">
        <v>14</v>
      </c>
      <c r="K127" s="30">
        <v>15.09375</v>
      </c>
    </row>
    <row r="128" spans="1:11" x14ac:dyDescent="0.25">
      <c r="A128" s="17" t="s">
        <v>100</v>
      </c>
      <c r="B128" s="573" t="s">
        <v>59</v>
      </c>
      <c r="C128" s="573"/>
      <c r="D128" s="573"/>
      <c r="E128" s="573"/>
      <c r="F128" s="573"/>
      <c r="G128" s="573"/>
      <c r="H128" s="573"/>
      <c r="I128" s="573"/>
      <c r="J128" s="15" t="s">
        <v>14</v>
      </c>
      <c r="K128" s="30">
        <v>15.6555</v>
      </c>
    </row>
    <row r="129" spans="1:11" x14ac:dyDescent="0.25">
      <c r="A129" s="16" t="s">
        <v>101</v>
      </c>
      <c r="B129" s="568" t="s">
        <v>62</v>
      </c>
      <c r="C129" s="568"/>
      <c r="D129" s="568"/>
      <c r="E129" s="568"/>
      <c r="F129" s="568"/>
      <c r="G129" s="568"/>
      <c r="H129" s="568"/>
      <c r="I129" s="568"/>
      <c r="J129" s="15" t="s">
        <v>14</v>
      </c>
      <c r="K129" s="30">
        <v>15.6555</v>
      </c>
    </row>
    <row r="130" spans="1:11" x14ac:dyDescent="0.25">
      <c r="A130" s="17" t="s">
        <v>102</v>
      </c>
      <c r="B130" s="568" t="s">
        <v>222</v>
      </c>
      <c r="C130" s="568"/>
      <c r="D130" s="568"/>
      <c r="E130" s="568"/>
      <c r="F130" s="568"/>
      <c r="G130" s="568"/>
      <c r="H130" s="568"/>
      <c r="I130" s="568"/>
      <c r="J130" s="21" t="s">
        <v>14</v>
      </c>
      <c r="K130" s="32">
        <v>10.759583333333335</v>
      </c>
    </row>
    <row r="131" spans="1:11" x14ac:dyDescent="0.25">
      <c r="A131" s="16" t="s">
        <v>103</v>
      </c>
      <c r="B131" s="568" t="s">
        <v>60</v>
      </c>
      <c r="C131" s="568"/>
      <c r="D131" s="568"/>
      <c r="E131" s="568"/>
      <c r="F131" s="568"/>
      <c r="G131" s="568"/>
      <c r="H131" s="568"/>
      <c r="I131" s="568"/>
      <c r="J131" s="21" t="s">
        <v>14</v>
      </c>
      <c r="K131" s="32">
        <v>11.025</v>
      </c>
    </row>
    <row r="132" spans="1:11" x14ac:dyDescent="0.25">
      <c r="A132" s="17" t="s">
        <v>104</v>
      </c>
      <c r="B132" s="568" t="s">
        <v>587</v>
      </c>
      <c r="C132" s="568"/>
      <c r="D132" s="568"/>
      <c r="E132" s="568"/>
      <c r="F132" s="568"/>
      <c r="G132" s="568"/>
      <c r="H132" s="568"/>
      <c r="I132" s="568"/>
      <c r="J132" s="21" t="s">
        <v>14</v>
      </c>
      <c r="K132" s="32">
        <v>14.087500000000002</v>
      </c>
    </row>
    <row r="133" spans="1:11" x14ac:dyDescent="0.25">
      <c r="A133" s="16" t="s">
        <v>105</v>
      </c>
      <c r="B133" s="568" t="s">
        <v>61</v>
      </c>
      <c r="C133" s="568"/>
      <c r="D133" s="568"/>
      <c r="E133" s="568"/>
      <c r="F133" s="568"/>
      <c r="G133" s="568"/>
      <c r="H133" s="568"/>
      <c r="I133" s="568"/>
      <c r="J133" s="21" t="s">
        <v>14</v>
      </c>
      <c r="K133" s="32">
        <v>8.9833333333333307</v>
      </c>
    </row>
    <row r="134" spans="1:11" x14ac:dyDescent="0.25">
      <c r="A134" s="17" t="s">
        <v>106</v>
      </c>
      <c r="B134" s="559" t="s">
        <v>221</v>
      </c>
      <c r="C134" s="560"/>
      <c r="D134" s="560"/>
      <c r="E134" s="560"/>
      <c r="F134" s="560"/>
      <c r="G134" s="560"/>
      <c r="H134" s="560"/>
      <c r="I134" s="561"/>
      <c r="J134" s="21" t="s">
        <v>14</v>
      </c>
      <c r="K134" s="32">
        <v>7.1750000000000007</v>
      </c>
    </row>
    <row r="135" spans="1:11" x14ac:dyDescent="0.25">
      <c r="A135" s="16" t="s">
        <v>107</v>
      </c>
      <c r="B135" s="573" t="s">
        <v>64</v>
      </c>
      <c r="C135" s="573"/>
      <c r="D135" s="573"/>
      <c r="E135" s="573"/>
      <c r="F135" s="573"/>
      <c r="G135" s="573"/>
      <c r="H135" s="573"/>
      <c r="I135" s="573"/>
      <c r="J135" s="15" t="s">
        <v>14</v>
      </c>
      <c r="K135" s="30">
        <v>8.0313829787234052</v>
      </c>
    </row>
    <row r="136" spans="1:11" x14ac:dyDescent="0.25">
      <c r="A136" s="17" t="s">
        <v>108</v>
      </c>
      <c r="B136" s="568" t="s">
        <v>65</v>
      </c>
      <c r="C136" s="568"/>
      <c r="D136" s="568"/>
      <c r="E136" s="568"/>
      <c r="F136" s="568"/>
      <c r="G136" s="568"/>
      <c r="H136" s="568"/>
      <c r="I136" s="568"/>
      <c r="J136" s="15" t="s">
        <v>14</v>
      </c>
      <c r="K136" s="30">
        <v>8.9833333333333325</v>
      </c>
    </row>
    <row r="137" spans="1:11" x14ac:dyDescent="0.25">
      <c r="A137" s="16" t="s">
        <v>109</v>
      </c>
      <c r="B137" s="568" t="s">
        <v>72</v>
      </c>
      <c r="C137" s="568"/>
      <c r="D137" s="568"/>
      <c r="E137" s="568"/>
      <c r="F137" s="568"/>
      <c r="G137" s="568"/>
      <c r="H137" s="568"/>
      <c r="I137" s="568"/>
      <c r="J137" s="15" t="s">
        <v>73</v>
      </c>
      <c r="K137" s="30">
        <v>6.6072729443447127</v>
      </c>
    </row>
    <row r="138" spans="1:11" x14ac:dyDescent="0.25">
      <c r="A138" s="17" t="s">
        <v>110</v>
      </c>
      <c r="B138" s="568" t="s">
        <v>66</v>
      </c>
      <c r="C138" s="568"/>
      <c r="D138" s="568"/>
      <c r="E138" s="568"/>
      <c r="F138" s="568"/>
      <c r="G138" s="568"/>
      <c r="H138" s="568"/>
      <c r="I138" s="568"/>
      <c r="J138" s="21" t="s">
        <v>14</v>
      </c>
      <c r="K138" s="32">
        <v>9.0321428571428566</v>
      </c>
    </row>
    <row r="139" spans="1:11" x14ac:dyDescent="0.25">
      <c r="A139" s="17" t="s">
        <v>461</v>
      </c>
      <c r="B139" s="568" t="s">
        <v>460</v>
      </c>
      <c r="C139" s="568"/>
      <c r="D139" s="568"/>
      <c r="E139" s="568"/>
      <c r="F139" s="568"/>
      <c r="G139" s="568"/>
      <c r="H139" s="568"/>
      <c r="I139" s="568"/>
      <c r="J139" s="21" t="s">
        <v>14</v>
      </c>
      <c r="K139" s="32">
        <v>26.8</v>
      </c>
    </row>
    <row r="140" spans="1:11" x14ac:dyDescent="0.25">
      <c r="A140" s="17" t="s">
        <v>473</v>
      </c>
      <c r="B140" s="568" t="s">
        <v>512</v>
      </c>
      <c r="C140" s="568"/>
      <c r="D140" s="568"/>
      <c r="E140" s="568"/>
      <c r="F140" s="568"/>
      <c r="G140" s="568"/>
      <c r="H140" s="568"/>
      <c r="I140" s="568"/>
      <c r="J140" s="21" t="s">
        <v>14</v>
      </c>
      <c r="K140" s="32">
        <v>17.675000000000004</v>
      </c>
    </row>
    <row r="141" spans="1:11" x14ac:dyDescent="0.25">
      <c r="A141" s="17" t="s">
        <v>566</v>
      </c>
      <c r="B141" s="559" t="s">
        <v>605</v>
      </c>
      <c r="C141" s="560"/>
      <c r="D141" s="560"/>
      <c r="E141" s="560"/>
      <c r="F141" s="560"/>
      <c r="G141" s="560"/>
      <c r="H141" s="560"/>
      <c r="I141" s="561"/>
      <c r="J141" s="21" t="s">
        <v>14</v>
      </c>
      <c r="K141" s="32">
        <v>45.795070162090802</v>
      </c>
    </row>
    <row r="142" spans="1:11" x14ac:dyDescent="0.25">
      <c r="A142" s="17" t="s">
        <v>569</v>
      </c>
      <c r="B142" s="586" t="s">
        <v>567</v>
      </c>
      <c r="C142" s="586"/>
      <c r="D142" s="586"/>
      <c r="E142" s="586"/>
      <c r="F142" s="586"/>
      <c r="G142" s="586"/>
      <c r="H142" s="586"/>
      <c r="I142" s="586"/>
      <c r="J142" s="503" t="s">
        <v>14</v>
      </c>
      <c r="K142" s="506">
        <v>26.4</v>
      </c>
    </row>
    <row r="143" spans="1:11" x14ac:dyDescent="0.25">
      <c r="A143" s="17" t="s">
        <v>577</v>
      </c>
      <c r="B143" s="586" t="s">
        <v>568</v>
      </c>
      <c r="C143" s="586"/>
      <c r="D143" s="586"/>
      <c r="E143" s="586"/>
      <c r="F143" s="586"/>
      <c r="G143" s="586"/>
      <c r="H143" s="586"/>
      <c r="I143" s="586"/>
      <c r="J143" s="503" t="s">
        <v>14</v>
      </c>
      <c r="K143" s="506">
        <v>33</v>
      </c>
    </row>
    <row r="144" spans="1:11" x14ac:dyDescent="0.25">
      <c r="A144" s="17" t="s">
        <v>603</v>
      </c>
      <c r="B144" s="586" t="s">
        <v>570</v>
      </c>
      <c r="C144" s="586"/>
      <c r="D144" s="586"/>
      <c r="E144" s="586"/>
      <c r="F144" s="586"/>
      <c r="G144" s="586"/>
      <c r="H144" s="586"/>
      <c r="I144" s="586"/>
      <c r="J144" s="503" t="s">
        <v>14</v>
      </c>
      <c r="K144" s="506">
        <v>28.6</v>
      </c>
    </row>
    <row r="145" spans="1:15" ht="15.75" customHeight="1" thickBot="1" x14ac:dyDescent="0.3">
      <c r="A145" s="35"/>
      <c r="B145" s="569"/>
      <c r="C145" s="569"/>
      <c r="D145" s="569"/>
      <c r="E145" s="569"/>
      <c r="F145" s="569"/>
      <c r="G145" s="569"/>
      <c r="H145" s="569"/>
      <c r="I145" s="569"/>
      <c r="J145" s="4"/>
      <c r="K145" s="34"/>
    </row>
    <row r="146" spans="1:15" ht="15.75" thickBot="1" x14ac:dyDescent="0.3">
      <c r="A146" s="44" t="s">
        <v>130</v>
      </c>
      <c r="B146" s="583" t="s">
        <v>144</v>
      </c>
      <c r="C146" s="584" t="s">
        <v>136</v>
      </c>
      <c r="D146" s="584" t="s">
        <v>136</v>
      </c>
      <c r="E146" s="584" t="s">
        <v>136</v>
      </c>
      <c r="F146" s="584" t="s">
        <v>136</v>
      </c>
      <c r="G146" s="584" t="s">
        <v>136</v>
      </c>
      <c r="H146" s="584" t="s">
        <v>136</v>
      </c>
      <c r="I146" s="585" t="s">
        <v>136</v>
      </c>
      <c r="J146" s="44" t="s">
        <v>10</v>
      </c>
      <c r="K146" s="44" t="s">
        <v>11</v>
      </c>
    </row>
    <row r="147" spans="1:15" x14ac:dyDescent="0.25">
      <c r="A147" s="16" t="s">
        <v>132</v>
      </c>
      <c r="B147" s="559" t="s">
        <v>141</v>
      </c>
      <c r="C147" s="560"/>
      <c r="D147" s="560"/>
      <c r="E147" s="560"/>
      <c r="F147" s="560"/>
      <c r="G147" s="560"/>
      <c r="H147" s="560"/>
      <c r="I147" s="561"/>
      <c r="J147" s="16" t="s">
        <v>124</v>
      </c>
      <c r="K147" s="30">
        <v>72.150000000000006</v>
      </c>
    </row>
    <row r="148" spans="1:15" x14ac:dyDescent="0.25">
      <c r="A148" s="17" t="s">
        <v>133</v>
      </c>
      <c r="B148" s="562" t="s">
        <v>142</v>
      </c>
      <c r="C148" s="563"/>
      <c r="D148" s="563"/>
      <c r="E148" s="563"/>
      <c r="F148" s="563"/>
      <c r="G148" s="563"/>
      <c r="H148" s="563"/>
      <c r="I148" s="564"/>
      <c r="J148" s="15" t="s">
        <v>124</v>
      </c>
      <c r="K148" s="30">
        <v>144.495</v>
      </c>
    </row>
    <row r="149" spans="1:15" x14ac:dyDescent="0.25">
      <c r="A149" s="16" t="s">
        <v>134</v>
      </c>
      <c r="B149" s="559" t="s">
        <v>143</v>
      </c>
      <c r="C149" s="560"/>
      <c r="D149" s="560"/>
      <c r="E149" s="560"/>
      <c r="F149" s="560"/>
      <c r="G149" s="560"/>
      <c r="H149" s="560"/>
      <c r="I149" s="561"/>
      <c r="J149" s="15" t="s">
        <v>124</v>
      </c>
      <c r="K149" s="30">
        <v>177.31800000000001</v>
      </c>
    </row>
    <row r="150" spans="1:15" x14ac:dyDescent="0.25">
      <c r="A150" s="17" t="s">
        <v>135</v>
      </c>
      <c r="B150" s="559" t="s">
        <v>225</v>
      </c>
      <c r="C150" s="560"/>
      <c r="D150" s="560"/>
      <c r="E150" s="560"/>
      <c r="F150" s="560"/>
      <c r="G150" s="560"/>
      <c r="H150" s="560"/>
      <c r="I150" s="561"/>
      <c r="J150" s="21" t="s">
        <v>124</v>
      </c>
      <c r="K150" s="30">
        <v>96.33</v>
      </c>
      <c r="O150" s="4"/>
    </row>
    <row r="151" spans="1:15" x14ac:dyDescent="0.25">
      <c r="A151" s="16" t="s">
        <v>137</v>
      </c>
      <c r="B151" s="559" t="s">
        <v>226</v>
      </c>
      <c r="C151" s="560"/>
      <c r="D151" s="560"/>
      <c r="E151" s="560"/>
      <c r="F151" s="560"/>
      <c r="G151" s="560"/>
      <c r="H151" s="560"/>
      <c r="I151" s="561"/>
      <c r="J151" s="21" t="s">
        <v>124</v>
      </c>
      <c r="K151" s="30">
        <v>47.855000000000004</v>
      </c>
    </row>
    <row r="152" spans="1:15" ht="16.5" customHeight="1" x14ac:dyDescent="0.25">
      <c r="A152" s="17" t="s">
        <v>138</v>
      </c>
      <c r="B152" s="587" t="s">
        <v>145</v>
      </c>
      <c r="C152" s="587"/>
      <c r="D152" s="587"/>
      <c r="E152" s="587"/>
      <c r="F152" s="587"/>
      <c r="G152" s="587"/>
      <c r="H152" s="587"/>
      <c r="I152" s="587"/>
      <c r="J152" s="21" t="s">
        <v>124</v>
      </c>
      <c r="K152" s="32">
        <v>95.71</v>
      </c>
    </row>
    <row r="153" spans="1:15" ht="16.5" customHeight="1" x14ac:dyDescent="0.25">
      <c r="A153" s="17" t="s">
        <v>139</v>
      </c>
      <c r="B153" s="587" t="s">
        <v>246</v>
      </c>
      <c r="C153" s="587"/>
      <c r="D153" s="587"/>
      <c r="E153" s="587"/>
      <c r="F153" s="587"/>
      <c r="G153" s="587"/>
      <c r="H153" s="587"/>
      <c r="I153" s="587"/>
      <c r="J153" s="21" t="s">
        <v>124</v>
      </c>
      <c r="K153" s="32">
        <v>2.2916666666666665</v>
      </c>
    </row>
    <row r="154" spans="1:15" ht="16.5" customHeight="1" x14ac:dyDescent="0.25">
      <c r="A154" s="17" t="s">
        <v>465</v>
      </c>
      <c r="B154" s="587" t="s">
        <v>627</v>
      </c>
      <c r="C154" s="587"/>
      <c r="D154" s="587"/>
      <c r="E154" s="587"/>
      <c r="F154" s="587"/>
      <c r="G154" s="587"/>
      <c r="H154" s="587"/>
      <c r="I154" s="587"/>
      <c r="J154" s="21" t="s">
        <v>124</v>
      </c>
      <c r="K154" s="32">
        <v>26.4</v>
      </c>
    </row>
    <row r="155" spans="1:15" ht="15.75" thickBot="1" x14ac:dyDescent="0.3"/>
    <row r="156" spans="1:15" ht="15.75" thickBot="1" x14ac:dyDescent="0.3">
      <c r="A156" s="44" t="s">
        <v>140</v>
      </c>
      <c r="B156" s="577" t="s">
        <v>159</v>
      </c>
      <c r="C156" s="578" t="s">
        <v>136</v>
      </c>
      <c r="D156" s="578" t="s">
        <v>136</v>
      </c>
      <c r="E156" s="578" t="s">
        <v>136</v>
      </c>
      <c r="F156" s="578" t="s">
        <v>136</v>
      </c>
      <c r="G156" s="578" t="s">
        <v>136</v>
      </c>
      <c r="H156" s="578" t="s">
        <v>136</v>
      </c>
      <c r="I156" s="579" t="s">
        <v>136</v>
      </c>
      <c r="J156" s="44" t="s">
        <v>10</v>
      </c>
      <c r="K156" s="44" t="s">
        <v>11</v>
      </c>
    </row>
    <row r="157" spans="1:15" x14ac:dyDescent="0.25">
      <c r="A157" s="16" t="s">
        <v>147</v>
      </c>
      <c r="B157" s="559" t="s">
        <v>162</v>
      </c>
      <c r="C157" s="560"/>
      <c r="D157" s="560"/>
      <c r="E157" s="560"/>
      <c r="F157" s="560"/>
      <c r="G157" s="560"/>
      <c r="H157" s="560"/>
      <c r="I157" s="561"/>
      <c r="J157" s="15" t="s">
        <v>124</v>
      </c>
      <c r="K157" s="30">
        <v>622.65</v>
      </c>
    </row>
    <row r="158" spans="1:15" x14ac:dyDescent="0.25">
      <c r="A158" s="16" t="s">
        <v>148</v>
      </c>
      <c r="B158" s="559" t="s">
        <v>163</v>
      </c>
      <c r="C158" s="560"/>
      <c r="D158" s="560"/>
      <c r="E158" s="560"/>
      <c r="F158" s="560"/>
      <c r="G158" s="560"/>
      <c r="H158" s="560"/>
      <c r="I158" s="561"/>
      <c r="J158" s="21" t="s">
        <v>124</v>
      </c>
      <c r="K158" s="30">
        <v>482.3</v>
      </c>
    </row>
    <row r="159" spans="1:15" ht="15.75" thickBot="1" x14ac:dyDescent="0.3"/>
    <row r="160" spans="1:15" ht="15.75" thickBot="1" x14ac:dyDescent="0.3">
      <c r="A160" s="44" t="s">
        <v>151</v>
      </c>
      <c r="B160" s="577" t="s">
        <v>416</v>
      </c>
      <c r="C160" s="578" t="s">
        <v>136</v>
      </c>
      <c r="D160" s="578" t="s">
        <v>136</v>
      </c>
      <c r="E160" s="578" t="s">
        <v>136</v>
      </c>
      <c r="F160" s="578" t="s">
        <v>136</v>
      </c>
      <c r="G160" s="578" t="s">
        <v>136</v>
      </c>
      <c r="H160" s="578" t="s">
        <v>136</v>
      </c>
      <c r="I160" s="579" t="s">
        <v>136</v>
      </c>
      <c r="J160" s="44" t="s">
        <v>10</v>
      </c>
      <c r="K160" s="44" t="s">
        <v>11</v>
      </c>
    </row>
    <row r="161" spans="1:11" x14ac:dyDescent="0.25">
      <c r="A161" s="16" t="s">
        <v>152</v>
      </c>
      <c r="B161" s="559" t="s">
        <v>161</v>
      </c>
      <c r="C161" s="560"/>
      <c r="D161" s="560"/>
      <c r="E161" s="560"/>
      <c r="F161" s="560"/>
      <c r="G161" s="560"/>
      <c r="H161" s="560"/>
      <c r="I161" s="561"/>
      <c r="J161" s="21" t="s">
        <v>459</v>
      </c>
      <c r="K161" s="420">
        <v>3.5144192439862545</v>
      </c>
    </row>
    <row r="162" spans="1:11" ht="15.75" thickBot="1" x14ac:dyDescent="0.3">
      <c r="A162" s="35"/>
      <c r="B162" s="51"/>
      <c r="C162" s="51"/>
      <c r="D162" s="51"/>
      <c r="E162" s="51"/>
      <c r="F162" s="51"/>
      <c r="G162" s="51"/>
      <c r="H162" s="51"/>
      <c r="I162" s="51"/>
      <c r="J162" s="4"/>
      <c r="K162" s="421"/>
    </row>
    <row r="163" spans="1:11" ht="15.75" thickBot="1" x14ac:dyDescent="0.3">
      <c r="A163" s="514">
        <v>1</v>
      </c>
      <c r="B163" s="588" t="s">
        <v>588</v>
      </c>
      <c r="C163" s="589" t="s">
        <v>136</v>
      </c>
      <c r="D163" s="589" t="s">
        <v>136</v>
      </c>
      <c r="E163" s="589" t="s">
        <v>136</v>
      </c>
      <c r="F163" s="589" t="s">
        <v>136</v>
      </c>
      <c r="G163" s="589" t="s">
        <v>136</v>
      </c>
      <c r="H163" s="589" t="s">
        <v>136</v>
      </c>
      <c r="I163" s="590" t="s">
        <v>136</v>
      </c>
      <c r="J163" s="514" t="s">
        <v>10</v>
      </c>
      <c r="K163" s="514" t="s">
        <v>11</v>
      </c>
    </row>
    <row r="164" spans="1:11" ht="32.25" customHeight="1" x14ac:dyDescent="0.25">
      <c r="A164" s="16" t="s">
        <v>18</v>
      </c>
      <c r="B164" s="591" t="s">
        <v>590</v>
      </c>
      <c r="C164" s="592"/>
      <c r="D164" s="592"/>
      <c r="E164" s="592"/>
      <c r="F164" s="592"/>
      <c r="G164" s="592"/>
      <c r="H164" s="592"/>
      <c r="I164" s="593"/>
      <c r="J164" s="21" t="s">
        <v>14</v>
      </c>
      <c r="K164" s="32">
        <v>41.5</v>
      </c>
    </row>
    <row r="165" spans="1:11" x14ac:dyDescent="0.25">
      <c r="A165" s="35"/>
      <c r="B165" s="51"/>
      <c r="C165" s="51"/>
      <c r="D165" s="51"/>
      <c r="E165" s="51"/>
      <c r="F165" s="51"/>
      <c r="G165" s="51"/>
      <c r="H165" s="51"/>
      <c r="I165" s="51"/>
      <c r="J165" s="4"/>
      <c r="K165" s="421"/>
    </row>
    <row r="166" spans="1:11" ht="15.75" thickBot="1" x14ac:dyDescent="0.3">
      <c r="A166" s="35"/>
      <c r="B166" s="51"/>
      <c r="C166" s="51"/>
      <c r="D166" s="51"/>
      <c r="E166" s="51"/>
      <c r="F166" s="51"/>
      <c r="G166" s="51"/>
      <c r="H166" s="51"/>
      <c r="I166" s="51"/>
      <c r="J166" s="4"/>
      <c r="K166" s="421"/>
    </row>
    <row r="167" spans="1:11" ht="15.75" thickBot="1" x14ac:dyDescent="0.3">
      <c r="A167" s="516">
        <v>1</v>
      </c>
      <c r="B167" s="580" t="s">
        <v>592</v>
      </c>
      <c r="C167" s="581" t="s">
        <v>136</v>
      </c>
      <c r="D167" s="581" t="s">
        <v>136</v>
      </c>
      <c r="E167" s="581" t="s">
        <v>136</v>
      </c>
      <c r="F167" s="581" t="s">
        <v>136</v>
      </c>
      <c r="G167" s="581" t="s">
        <v>136</v>
      </c>
      <c r="H167" s="581" t="s">
        <v>136</v>
      </c>
      <c r="I167" s="582" t="s">
        <v>136</v>
      </c>
      <c r="J167" s="516" t="s">
        <v>10</v>
      </c>
      <c r="K167" s="516" t="s">
        <v>11</v>
      </c>
    </row>
    <row r="168" spans="1:11" x14ac:dyDescent="0.25">
      <c r="A168" s="16" t="s">
        <v>18</v>
      </c>
      <c r="B168" s="559" t="s">
        <v>600</v>
      </c>
      <c r="C168" s="560"/>
      <c r="D168" s="560"/>
      <c r="E168" s="560"/>
      <c r="F168" s="560"/>
      <c r="G168" s="560"/>
      <c r="H168" s="560"/>
      <c r="I168" s="561"/>
      <c r="J168" s="21" t="s">
        <v>14</v>
      </c>
      <c r="K168" s="30">
        <v>28.012500000000003</v>
      </c>
    </row>
    <row r="169" spans="1:11" x14ac:dyDescent="0.25">
      <c r="A169" s="16" t="s">
        <v>19</v>
      </c>
      <c r="B169" s="587" t="s">
        <v>601</v>
      </c>
      <c r="C169" s="587"/>
      <c r="D169" s="587"/>
      <c r="E169" s="587"/>
      <c r="F169" s="587"/>
      <c r="G169" s="587"/>
      <c r="H169" s="587"/>
      <c r="I169" s="587"/>
      <c r="J169" s="21" t="s">
        <v>14</v>
      </c>
      <c r="K169" s="32">
        <v>41.5</v>
      </c>
    </row>
    <row r="170" spans="1:11" x14ac:dyDescent="0.25">
      <c r="A170" s="16" t="s">
        <v>20</v>
      </c>
      <c r="B170" s="559" t="s">
        <v>593</v>
      </c>
      <c r="C170" s="560"/>
      <c r="D170" s="560"/>
      <c r="E170" s="560"/>
      <c r="F170" s="560"/>
      <c r="G170" s="560"/>
      <c r="H170" s="560"/>
      <c r="I170" s="561"/>
      <c r="J170" s="16" t="s">
        <v>14</v>
      </c>
      <c r="K170" s="30">
        <v>28.376999999999999</v>
      </c>
    </row>
    <row r="171" spans="1:11" x14ac:dyDescent="0.25">
      <c r="A171" s="16" t="s">
        <v>123</v>
      </c>
      <c r="B171" s="562" t="s">
        <v>595</v>
      </c>
      <c r="C171" s="563"/>
      <c r="D171" s="563"/>
      <c r="E171" s="563"/>
      <c r="F171" s="563"/>
      <c r="G171" s="563"/>
      <c r="H171" s="563"/>
      <c r="I171" s="564"/>
      <c r="J171" s="16" t="s">
        <v>14</v>
      </c>
      <c r="K171" s="30">
        <v>42.04</v>
      </c>
    </row>
    <row r="172" spans="1:11" x14ac:dyDescent="0.25">
      <c r="A172" s="16" t="s">
        <v>615</v>
      </c>
      <c r="B172" s="563" t="s">
        <v>616</v>
      </c>
      <c r="C172" s="563"/>
      <c r="D172" s="563"/>
      <c r="E172" s="563"/>
      <c r="F172" s="563"/>
      <c r="G172" s="563"/>
      <c r="H172" s="563"/>
      <c r="I172" s="564"/>
      <c r="J172" s="15" t="s">
        <v>122</v>
      </c>
      <c r="K172" s="30">
        <v>29.57</v>
      </c>
    </row>
    <row r="173" spans="1:11" x14ac:dyDescent="0.25">
      <c r="A173" s="16" t="s">
        <v>617</v>
      </c>
      <c r="B173" s="562" t="s">
        <v>618</v>
      </c>
      <c r="C173" s="563"/>
      <c r="D173" s="563"/>
      <c r="E173" s="563"/>
      <c r="F173" s="563"/>
      <c r="G173" s="563"/>
      <c r="H173" s="563"/>
      <c r="I173" s="564"/>
      <c r="J173" s="15" t="s">
        <v>122</v>
      </c>
      <c r="K173" s="30">
        <v>20.698999999999998</v>
      </c>
    </row>
    <row r="174" spans="1:11" ht="15.75" thickBot="1" x14ac:dyDescent="0.3">
      <c r="A174" s="35"/>
      <c r="B174" s="51"/>
      <c r="C174" s="51"/>
      <c r="D174" s="51"/>
      <c r="E174" s="51"/>
      <c r="F174" s="51"/>
      <c r="G174" s="51"/>
      <c r="H174" s="51"/>
      <c r="I174" s="51"/>
      <c r="J174" s="4"/>
      <c r="K174" s="421"/>
    </row>
    <row r="175" spans="1:11" ht="15.75" thickBot="1" x14ac:dyDescent="0.3">
      <c r="A175" s="516" t="s">
        <v>5</v>
      </c>
      <c r="B175" s="565" t="s">
        <v>596</v>
      </c>
      <c r="C175" s="566"/>
      <c r="D175" s="566"/>
      <c r="E175" s="566"/>
      <c r="F175" s="566"/>
      <c r="G175" s="566"/>
      <c r="H175" s="566"/>
      <c r="I175" s="567"/>
      <c r="J175" s="516" t="s">
        <v>10</v>
      </c>
      <c r="K175" s="516" t="s">
        <v>11</v>
      </c>
    </row>
    <row r="176" spans="1:11" x14ac:dyDescent="0.25">
      <c r="A176" s="16" t="s">
        <v>114</v>
      </c>
      <c r="B176" s="559" t="s">
        <v>472</v>
      </c>
      <c r="C176" s="560"/>
      <c r="D176" s="560"/>
      <c r="E176" s="560"/>
      <c r="F176" s="560"/>
      <c r="G176" s="560"/>
      <c r="H176" s="560"/>
      <c r="I176" s="561"/>
      <c r="J176" s="15" t="s">
        <v>14</v>
      </c>
      <c r="K176" s="30">
        <v>76.67</v>
      </c>
    </row>
    <row r="177" spans="1:11" x14ac:dyDescent="0.25">
      <c r="A177" s="16" t="s">
        <v>115</v>
      </c>
      <c r="B177" s="559" t="s">
        <v>594</v>
      </c>
      <c r="C177" s="560"/>
      <c r="D177" s="560"/>
      <c r="E177" s="560"/>
      <c r="F177" s="560"/>
      <c r="G177" s="560"/>
      <c r="H177" s="560"/>
      <c r="I177" s="561"/>
      <c r="J177" s="21" t="s">
        <v>14</v>
      </c>
      <c r="K177" s="32">
        <v>91.289500000000018</v>
      </c>
    </row>
    <row r="178" spans="1:11" x14ac:dyDescent="0.25">
      <c r="A178" s="16" t="s">
        <v>116</v>
      </c>
      <c r="B178" s="562" t="s">
        <v>597</v>
      </c>
      <c r="C178" s="563"/>
      <c r="D178" s="563"/>
      <c r="E178" s="563"/>
      <c r="F178" s="563"/>
      <c r="G178" s="563"/>
      <c r="H178" s="563"/>
      <c r="I178" s="564"/>
      <c r="J178" s="15" t="s">
        <v>14</v>
      </c>
      <c r="K178" s="32">
        <v>122.67200000000001</v>
      </c>
    </row>
    <row r="179" spans="1:11" x14ac:dyDescent="0.25">
      <c r="A179" s="16" t="s">
        <v>118</v>
      </c>
      <c r="B179" s="559" t="s">
        <v>71</v>
      </c>
      <c r="C179" s="560"/>
      <c r="D179" s="560"/>
      <c r="E179" s="560"/>
      <c r="F179" s="560"/>
      <c r="G179" s="560"/>
      <c r="H179" s="560"/>
      <c r="I179" s="561"/>
      <c r="J179" s="15" t="s">
        <v>14</v>
      </c>
      <c r="K179" s="30">
        <v>117.35</v>
      </c>
    </row>
    <row r="180" spans="1:11" x14ac:dyDescent="0.25">
      <c r="A180" s="16" t="s">
        <v>487</v>
      </c>
      <c r="B180" s="562" t="s">
        <v>598</v>
      </c>
      <c r="C180" s="563"/>
      <c r="D180" s="563"/>
      <c r="E180" s="563"/>
      <c r="F180" s="563"/>
      <c r="G180" s="563"/>
      <c r="H180" s="563"/>
      <c r="I180" s="564"/>
      <c r="J180" s="15" t="s">
        <v>14</v>
      </c>
      <c r="K180" s="32">
        <v>131.96949999999998</v>
      </c>
    </row>
    <row r="181" spans="1:11" x14ac:dyDescent="0.25">
      <c r="A181" s="16" t="s">
        <v>488</v>
      </c>
      <c r="B181" s="562" t="s">
        <v>599</v>
      </c>
      <c r="C181" s="563"/>
      <c r="D181" s="563"/>
      <c r="E181" s="563"/>
      <c r="F181" s="563"/>
      <c r="G181" s="563"/>
      <c r="H181" s="563"/>
      <c r="I181" s="564"/>
      <c r="J181" s="21" t="s">
        <v>14</v>
      </c>
      <c r="K181" s="32">
        <v>187.76</v>
      </c>
    </row>
    <row r="182" spans="1:11" x14ac:dyDescent="0.25">
      <c r="A182" s="16" t="s">
        <v>489</v>
      </c>
      <c r="B182" s="562" t="s">
        <v>610</v>
      </c>
      <c r="C182" s="563"/>
      <c r="D182" s="563"/>
      <c r="E182" s="563"/>
      <c r="F182" s="563"/>
      <c r="G182" s="563"/>
      <c r="H182" s="563"/>
      <c r="I182" s="564"/>
      <c r="J182" s="15" t="s">
        <v>14</v>
      </c>
      <c r="K182" s="30">
        <v>58.77</v>
      </c>
    </row>
    <row r="183" spans="1:11" x14ac:dyDescent="0.25">
      <c r="A183" s="16" t="s">
        <v>498</v>
      </c>
      <c r="B183" s="559" t="s">
        <v>611</v>
      </c>
      <c r="C183" s="560"/>
      <c r="D183" s="560"/>
      <c r="E183" s="560"/>
      <c r="F183" s="560"/>
      <c r="G183" s="560"/>
      <c r="H183" s="560"/>
      <c r="I183" s="561"/>
      <c r="J183" s="21" t="s">
        <v>14</v>
      </c>
      <c r="K183" s="32">
        <v>59.545000000000002</v>
      </c>
    </row>
    <row r="184" spans="1:11" ht="15.75" thickBot="1" x14ac:dyDescent="0.3">
      <c r="A184" s="35"/>
      <c r="B184" s="51"/>
      <c r="C184" s="51"/>
      <c r="D184" s="51"/>
      <c r="E184" s="51"/>
      <c r="F184" s="51"/>
      <c r="G184" s="51"/>
      <c r="H184" s="51"/>
      <c r="I184" s="51"/>
      <c r="J184" s="4"/>
      <c r="K184" s="421"/>
    </row>
    <row r="185" spans="1:11" ht="15.75" thickBot="1" x14ac:dyDescent="0.3">
      <c r="A185" s="516" t="s">
        <v>6</v>
      </c>
      <c r="B185" s="565" t="s">
        <v>602</v>
      </c>
      <c r="C185" s="566"/>
      <c r="D185" s="566"/>
      <c r="E185" s="566"/>
      <c r="F185" s="566"/>
      <c r="G185" s="566"/>
      <c r="H185" s="566"/>
      <c r="I185" s="567"/>
      <c r="J185" s="516" t="s">
        <v>10</v>
      </c>
      <c r="K185" s="517" t="s">
        <v>11</v>
      </c>
    </row>
    <row r="186" spans="1:11" x14ac:dyDescent="0.25">
      <c r="A186" s="16" t="s">
        <v>26</v>
      </c>
      <c r="B186" s="559" t="s">
        <v>604</v>
      </c>
      <c r="C186" s="560"/>
      <c r="D186" s="560"/>
      <c r="E186" s="560"/>
      <c r="F186" s="560"/>
      <c r="G186" s="560"/>
      <c r="H186" s="560"/>
      <c r="I186" s="561"/>
      <c r="J186" s="15" t="s">
        <v>14</v>
      </c>
      <c r="K186" s="30">
        <v>79.605070162090811</v>
      </c>
    </row>
    <row r="187" spans="1:11" x14ac:dyDescent="0.25">
      <c r="A187" s="16" t="s">
        <v>27</v>
      </c>
      <c r="B187" s="559" t="s">
        <v>607</v>
      </c>
      <c r="C187" s="560"/>
      <c r="D187" s="560"/>
      <c r="E187" s="560"/>
      <c r="F187" s="560"/>
      <c r="G187" s="560"/>
      <c r="H187" s="560"/>
      <c r="I187" s="561"/>
      <c r="J187" s="21" t="s">
        <v>14</v>
      </c>
      <c r="K187" s="32">
        <v>86.962070162090811</v>
      </c>
    </row>
    <row r="188" spans="1:11" x14ac:dyDescent="0.25">
      <c r="A188" s="16" t="s">
        <v>28</v>
      </c>
      <c r="B188" s="559" t="s">
        <v>609</v>
      </c>
      <c r="C188" s="560"/>
      <c r="D188" s="560"/>
      <c r="E188" s="560"/>
      <c r="F188" s="560"/>
      <c r="G188" s="560"/>
      <c r="H188" s="560"/>
      <c r="I188" s="561"/>
      <c r="J188" s="15" t="s">
        <v>14</v>
      </c>
      <c r="K188" s="32">
        <v>100.62507016209079</v>
      </c>
    </row>
    <row r="189" spans="1:11" x14ac:dyDescent="0.25">
      <c r="A189" s="35"/>
      <c r="B189" s="51"/>
      <c r="C189" s="51"/>
      <c r="D189" s="51"/>
      <c r="E189" s="51"/>
      <c r="F189" s="51"/>
      <c r="G189" s="51"/>
      <c r="H189" s="51"/>
      <c r="I189" s="51"/>
      <c r="J189" s="4"/>
      <c r="K189" s="421"/>
    </row>
    <row r="190" spans="1:11" x14ac:dyDescent="0.25">
      <c r="A190" s="35"/>
      <c r="B190" s="51"/>
      <c r="C190" s="51"/>
      <c r="D190" s="51"/>
      <c r="E190" s="51"/>
      <c r="F190" s="51"/>
      <c r="G190" s="51"/>
      <c r="H190" s="51"/>
      <c r="I190" s="51"/>
      <c r="J190" s="4"/>
      <c r="K190" s="421"/>
    </row>
    <row r="191" spans="1:11" x14ac:dyDescent="0.25">
      <c r="A191" s="594"/>
      <c r="B191" s="594"/>
      <c r="C191" s="594"/>
      <c r="D191" s="594"/>
      <c r="E191" s="98"/>
      <c r="F191" s="98"/>
    </row>
    <row r="192" spans="1:11" x14ac:dyDescent="0.25">
      <c r="A192" s="594" t="s">
        <v>629</v>
      </c>
      <c r="B192" s="594"/>
      <c r="C192" s="594"/>
      <c r="D192" s="594"/>
      <c r="E192" s="98"/>
      <c r="F192" s="98"/>
      <c r="G192" s="594" t="s">
        <v>583</v>
      </c>
      <c r="H192" s="594"/>
      <c r="I192" s="594"/>
      <c r="J192" s="594"/>
      <c r="K192" s="594"/>
    </row>
    <row r="193" spans="2:11" x14ac:dyDescent="0.25">
      <c r="B193" s="98"/>
      <c r="C193" s="98"/>
      <c r="D193" s="98"/>
      <c r="E193" s="98"/>
      <c r="F193" s="98"/>
      <c r="G193" s="594" t="s">
        <v>584</v>
      </c>
      <c r="H193" s="595"/>
      <c r="I193" s="595"/>
      <c r="J193" s="595"/>
      <c r="K193" s="595"/>
    </row>
    <row r="194" spans="2:11" x14ac:dyDescent="0.25">
      <c r="G194" s="594" t="s">
        <v>586</v>
      </c>
      <c r="H194" s="595"/>
      <c r="I194" s="595"/>
      <c r="J194" s="595"/>
      <c r="K194" s="595"/>
    </row>
  </sheetData>
  <sheetProtection sheet="1" formatCells="0" formatColumns="0" formatRows="0" insertColumns="0" insertRows="0" insertHyperlinks="0" deleteColumns="0" deleteRows="0" sort="0" autoFilter="0" pivotTables="0"/>
  <mergeCells count="159">
    <mergeCell ref="B185:I185"/>
    <mergeCell ref="B186:I186"/>
    <mergeCell ref="B187:I187"/>
    <mergeCell ref="B141:I141"/>
    <mergeCell ref="B188:I188"/>
    <mergeCell ref="B61:I61"/>
    <mergeCell ref="B75:I75"/>
    <mergeCell ref="B173:I173"/>
    <mergeCell ref="G194:K194"/>
    <mergeCell ref="A192:D192"/>
    <mergeCell ref="B82:I82"/>
    <mergeCell ref="B83:I83"/>
    <mergeCell ref="B78:I78"/>
    <mergeCell ref="B74:I74"/>
    <mergeCell ref="B87:I87"/>
    <mergeCell ref="B105:I105"/>
    <mergeCell ref="B89:I89"/>
    <mergeCell ref="B88:I88"/>
    <mergeCell ref="B77:I77"/>
    <mergeCell ref="B85:I85"/>
    <mergeCell ref="B86:I86"/>
    <mergeCell ref="B76:I76"/>
    <mergeCell ref="B73:I73"/>
    <mergeCell ref="B93:I93"/>
    <mergeCell ref="H10:J10"/>
    <mergeCell ref="H11:I11"/>
    <mergeCell ref="C10:E10"/>
    <mergeCell ref="B12:E12"/>
    <mergeCell ref="B72:I72"/>
    <mergeCell ref="B60:I60"/>
    <mergeCell ref="B49:J49"/>
    <mergeCell ref="B55:J55"/>
    <mergeCell ref="B64:I64"/>
    <mergeCell ref="B62:I62"/>
    <mergeCell ref="B66:I66"/>
    <mergeCell ref="B67:I67"/>
    <mergeCell ref="B63:I63"/>
    <mergeCell ref="B65:I65"/>
    <mergeCell ref="B68:I68"/>
    <mergeCell ref="B70:I70"/>
    <mergeCell ref="B69:I69"/>
    <mergeCell ref="A37:K37"/>
    <mergeCell ref="A32:K32"/>
    <mergeCell ref="A14:E14"/>
    <mergeCell ref="A24:E24"/>
    <mergeCell ref="B71:I71"/>
    <mergeCell ref="A26:E26"/>
    <mergeCell ref="A1:K6"/>
    <mergeCell ref="B59:I59"/>
    <mergeCell ref="B50:J50"/>
    <mergeCell ref="B53:J53"/>
    <mergeCell ref="B46:J46"/>
    <mergeCell ref="B47:J47"/>
    <mergeCell ref="B43:I43"/>
    <mergeCell ref="B17:E17"/>
    <mergeCell ref="B18:E18"/>
    <mergeCell ref="B20:E20"/>
    <mergeCell ref="B48:J48"/>
    <mergeCell ref="B39:I39"/>
    <mergeCell ref="B40:I40"/>
    <mergeCell ref="B41:I41"/>
    <mergeCell ref="B42:I42"/>
    <mergeCell ref="B45:J45"/>
    <mergeCell ref="B57:J57"/>
    <mergeCell ref="B51:J51"/>
    <mergeCell ref="B52:J52"/>
    <mergeCell ref="B54:J54"/>
    <mergeCell ref="B56:J56"/>
    <mergeCell ref="A31:C31"/>
    <mergeCell ref="A33:K33"/>
    <mergeCell ref="A36:K36"/>
    <mergeCell ref="B116:I116"/>
    <mergeCell ref="B119:I119"/>
    <mergeCell ref="B120:I120"/>
    <mergeCell ref="B121:I121"/>
    <mergeCell ref="B122:I122"/>
    <mergeCell ref="B126:I126"/>
    <mergeCell ref="B91:I91"/>
    <mergeCell ref="B92:I92"/>
    <mergeCell ref="B79:I79"/>
    <mergeCell ref="B94:I94"/>
    <mergeCell ref="B95:I95"/>
    <mergeCell ref="B96:I96"/>
    <mergeCell ref="B97:I97"/>
    <mergeCell ref="B98:I98"/>
    <mergeCell ref="B80:I80"/>
    <mergeCell ref="A191:D191"/>
    <mergeCell ref="G192:K192"/>
    <mergeCell ref="G193:K193"/>
    <mergeCell ref="B7:J7"/>
    <mergeCell ref="B8:J8"/>
    <mergeCell ref="B107:I107"/>
    <mergeCell ref="B108:I108"/>
    <mergeCell ref="B110:I110"/>
    <mergeCell ref="B111:I111"/>
    <mergeCell ref="B112:I112"/>
    <mergeCell ref="B109:I109"/>
    <mergeCell ref="B113:I113"/>
    <mergeCell ref="B114:I114"/>
    <mergeCell ref="B106:I106"/>
    <mergeCell ref="B161:I161"/>
    <mergeCell ref="B139:I139"/>
    <mergeCell ref="B160:I160"/>
    <mergeCell ref="B157:I157"/>
    <mergeCell ref="B158:I158"/>
    <mergeCell ref="B156:I156"/>
    <mergeCell ref="B151:I151"/>
    <mergeCell ref="B152:I152"/>
    <mergeCell ref="B153:I153"/>
    <mergeCell ref="B147:I147"/>
    <mergeCell ref="B167:I167"/>
    <mergeCell ref="B170:I170"/>
    <mergeCell ref="B171:I171"/>
    <mergeCell ref="B148:I148"/>
    <mergeCell ref="B149:I149"/>
    <mergeCell ref="B146:I146"/>
    <mergeCell ref="B150:I150"/>
    <mergeCell ref="B142:I142"/>
    <mergeCell ref="B143:I143"/>
    <mergeCell ref="B144:I144"/>
    <mergeCell ref="B168:I168"/>
    <mergeCell ref="B169:I169"/>
    <mergeCell ref="B154:I154"/>
    <mergeCell ref="B163:I163"/>
    <mergeCell ref="B164:I164"/>
    <mergeCell ref="B140:I140"/>
    <mergeCell ref="B145:I145"/>
    <mergeCell ref="B81:I81"/>
    <mergeCell ref="B138:I138"/>
    <mergeCell ref="B134:I134"/>
    <mergeCell ref="B137:I137"/>
    <mergeCell ref="B129:I129"/>
    <mergeCell ref="B133:I133"/>
    <mergeCell ref="B135:I135"/>
    <mergeCell ref="B136:I136"/>
    <mergeCell ref="B123:I123"/>
    <mergeCell ref="B99:I99"/>
    <mergeCell ref="B100:I100"/>
    <mergeCell ref="B101:I101"/>
    <mergeCell ref="B102:I102"/>
    <mergeCell ref="B128:I128"/>
    <mergeCell ref="B131:I131"/>
    <mergeCell ref="B132:I132"/>
    <mergeCell ref="B115:I115"/>
    <mergeCell ref="B130:I130"/>
    <mergeCell ref="B124:I124"/>
    <mergeCell ref="B125:I125"/>
    <mergeCell ref="B127:I127"/>
    <mergeCell ref="B118:I118"/>
    <mergeCell ref="B179:I179"/>
    <mergeCell ref="B180:I180"/>
    <mergeCell ref="B181:I181"/>
    <mergeCell ref="B182:I182"/>
    <mergeCell ref="B183:I183"/>
    <mergeCell ref="B172:I172"/>
    <mergeCell ref="B175:I175"/>
    <mergeCell ref="B176:I176"/>
    <mergeCell ref="B177:I177"/>
    <mergeCell ref="B178:I178"/>
  </mergeCells>
  <phoneticPr fontId="41" type="noConversion"/>
  <pageMargins left="0.7" right="0.7" top="0.75" bottom="0.75" header="0.3" footer="0.3"/>
  <pageSetup paperSize="9" scale="81" fitToHeight="0" orientation="portrait" r:id="rId1"/>
  <rowBreaks count="4" manualBreakCount="4">
    <brk id="44" max="11" man="1"/>
    <brk id="58" max="11" man="1"/>
    <brk id="116" max="11" man="1"/>
    <brk id="165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037"/>
  <sheetViews>
    <sheetView showGridLines="0" zoomScale="110" zoomScaleNormal="110" zoomScaleSheetLayoutView="100" workbookViewId="0">
      <selection activeCell="E10" sqref="E10"/>
    </sheetView>
  </sheetViews>
  <sheetFormatPr defaultColWidth="9.140625" defaultRowHeight="15" x14ac:dyDescent="0.25"/>
  <cols>
    <col min="1" max="1" width="9.140625" style="98"/>
    <col min="2" max="2" width="5.28515625" style="98" customWidth="1"/>
    <col min="3" max="3" width="10.85546875" style="98" customWidth="1"/>
    <col min="4" max="4" width="10.28515625" style="98" customWidth="1"/>
    <col min="5" max="5" width="21.42578125" style="98" customWidth="1"/>
    <col min="6" max="6" width="11.7109375" style="98" customWidth="1"/>
    <col min="7" max="7" width="10.140625" style="98" customWidth="1"/>
    <col min="8" max="8" width="10" style="98" bestFit="1" customWidth="1"/>
    <col min="9" max="9" width="9.42578125" style="98" customWidth="1"/>
    <col min="10" max="10" width="9.85546875" style="98" customWidth="1"/>
    <col min="11" max="11" width="9" style="98" customWidth="1"/>
    <col min="12" max="12" width="13.5703125" style="98" customWidth="1"/>
    <col min="13" max="13" width="15.5703125" style="98" customWidth="1"/>
    <col min="14" max="14" width="20.5703125" style="98" customWidth="1"/>
    <col min="15" max="16384" width="9.140625" style="98"/>
  </cols>
  <sheetData>
    <row r="1" spans="1:24" ht="18.75" x14ac:dyDescent="0.3">
      <c r="E1" s="804" t="s">
        <v>252</v>
      </c>
      <c r="F1" s="804"/>
      <c r="G1" s="804"/>
      <c r="H1" s="804"/>
      <c r="I1" s="804"/>
      <c r="J1" s="804"/>
    </row>
    <row r="2" spans="1:24" ht="19.5" thickBot="1" x14ac:dyDescent="0.35">
      <c r="R2" s="804" t="s">
        <v>252</v>
      </c>
      <c r="S2" s="804"/>
      <c r="T2" s="804"/>
      <c r="U2" s="804"/>
      <c r="V2" s="804"/>
      <c r="W2" s="804"/>
    </row>
    <row r="3" spans="1:24" ht="15.75" thickBot="1" x14ac:dyDescent="0.3">
      <c r="C3" s="577" t="s">
        <v>4</v>
      </c>
      <c r="D3" s="579"/>
      <c r="E3" s="577" t="s">
        <v>74</v>
      </c>
      <c r="F3" s="578"/>
      <c r="G3" s="578"/>
      <c r="H3" s="578"/>
      <c r="I3" s="579"/>
      <c r="J3" s="534"/>
    </row>
    <row r="4" spans="1:24" ht="23.25" thickBot="1" x14ac:dyDescent="0.3">
      <c r="C4" s="743" t="s">
        <v>36</v>
      </c>
      <c r="D4" s="744"/>
      <c r="E4" s="805" t="s">
        <v>37</v>
      </c>
      <c r="F4" s="806"/>
      <c r="G4" s="216" t="s">
        <v>256</v>
      </c>
      <c r="H4" s="48" t="s">
        <v>257</v>
      </c>
      <c r="I4" s="48"/>
      <c r="J4" s="49" t="s">
        <v>41</v>
      </c>
      <c r="P4" s="679" t="s">
        <v>4</v>
      </c>
      <c r="Q4" s="681"/>
      <c r="R4" s="679" t="s">
        <v>74</v>
      </c>
      <c r="S4" s="680"/>
      <c r="T4" s="680"/>
      <c r="U4" s="680"/>
      <c r="V4" s="681"/>
      <c r="W4" s="99"/>
    </row>
    <row r="5" spans="1:24" ht="23.25" customHeight="1" thickBot="1" x14ac:dyDescent="0.3">
      <c r="C5" s="684" t="s">
        <v>18</v>
      </c>
      <c r="D5" s="703"/>
      <c r="E5" s="745" t="s">
        <v>84</v>
      </c>
      <c r="F5" s="746"/>
      <c r="G5" s="221" t="s">
        <v>288</v>
      </c>
      <c r="H5" s="535"/>
      <c r="I5" s="228" t="s">
        <v>311</v>
      </c>
      <c r="J5" s="389" t="s">
        <v>307</v>
      </c>
      <c r="K5" s="426" t="s">
        <v>317</v>
      </c>
      <c r="P5" s="818" t="s">
        <v>36</v>
      </c>
      <c r="Q5" s="819"/>
      <c r="R5" s="820" t="s">
        <v>37</v>
      </c>
      <c r="S5" s="821"/>
      <c r="T5" s="216" t="s">
        <v>256</v>
      </c>
      <c r="U5" s="48" t="s">
        <v>257</v>
      </c>
      <c r="V5" s="100"/>
      <c r="W5" s="101" t="s">
        <v>41</v>
      </c>
    </row>
    <row r="6" spans="1:24" ht="15" customHeight="1" x14ac:dyDescent="0.25">
      <c r="C6" s="54" t="s">
        <v>263</v>
      </c>
      <c r="D6" s="55" t="s">
        <v>259</v>
      </c>
      <c r="E6" s="807" t="s">
        <v>218</v>
      </c>
      <c r="F6" s="808"/>
      <c r="G6" s="808"/>
      <c r="H6" s="808"/>
      <c r="I6" s="809"/>
      <c r="J6" s="536"/>
      <c r="K6" s="537"/>
      <c r="L6" s="406"/>
      <c r="P6" s="788" t="s">
        <v>18</v>
      </c>
      <c r="Q6" s="685"/>
      <c r="R6" s="745" t="s">
        <v>84</v>
      </c>
      <c r="S6" s="746"/>
      <c r="T6" s="221" t="s">
        <v>288</v>
      </c>
      <c r="U6" s="102"/>
      <c r="V6" s="228" t="s">
        <v>311</v>
      </c>
      <c r="W6" s="389" t="s">
        <v>307</v>
      </c>
      <c r="X6" s="426" t="s">
        <v>317</v>
      </c>
    </row>
    <row r="7" spans="1:24" ht="15.75" thickBot="1" x14ac:dyDescent="0.3">
      <c r="C7" s="350"/>
      <c r="D7" s="351"/>
      <c r="E7" s="326"/>
      <c r="F7" s="240" t="s">
        <v>251</v>
      </c>
      <c r="G7" s="241" t="s">
        <v>621</v>
      </c>
      <c r="H7" s="241">
        <v>174</v>
      </c>
      <c r="I7" s="232"/>
      <c r="J7" s="391"/>
      <c r="K7" s="428"/>
      <c r="L7" s="407"/>
      <c r="P7" s="54" t="s">
        <v>263</v>
      </c>
      <c r="Q7" s="55" t="s">
        <v>259</v>
      </c>
      <c r="R7" s="807" t="s">
        <v>218</v>
      </c>
      <c r="S7" s="808"/>
      <c r="T7" s="808"/>
      <c r="U7" s="808"/>
      <c r="V7" s="809"/>
      <c r="W7" s="390"/>
      <c r="X7" s="427"/>
    </row>
    <row r="8" spans="1:24" ht="15.75" thickBot="1" x14ac:dyDescent="0.3">
      <c r="A8" s="250"/>
      <c r="C8" s="222" t="s">
        <v>264</v>
      </c>
      <c r="D8" s="224" t="s">
        <v>262</v>
      </c>
      <c r="E8" s="256" t="s">
        <v>622</v>
      </c>
      <c r="F8" s="538"/>
      <c r="G8" s="166">
        <f>2067.83*1.06</f>
        <v>2191.8998000000001</v>
      </c>
      <c r="H8" s="166">
        <f>G8/H7</f>
        <v>12.597125287356322</v>
      </c>
      <c r="I8" s="166"/>
      <c r="J8" s="391"/>
      <c r="K8" s="428"/>
      <c r="L8" s="407"/>
      <c r="P8" s="217"/>
      <c r="Q8" s="218"/>
      <c r="R8" s="214"/>
      <c r="S8" s="240" t="s">
        <v>251</v>
      </c>
      <c r="T8" s="241"/>
      <c r="U8" s="241">
        <v>174</v>
      </c>
      <c r="V8" s="232"/>
      <c r="W8" s="391"/>
      <c r="X8" s="428"/>
    </row>
    <row r="9" spans="1:24" x14ac:dyDescent="0.25">
      <c r="C9" s="229" t="s">
        <v>265</v>
      </c>
      <c r="D9" s="230" t="s">
        <v>262</v>
      </c>
      <c r="E9" s="259"/>
      <c r="F9" s="258"/>
      <c r="G9" s="166">
        <f>2129.64*1.06</f>
        <v>2257.4184</v>
      </c>
      <c r="H9" s="166">
        <f>G9/H7</f>
        <v>12.973668965517241</v>
      </c>
      <c r="I9" s="166"/>
      <c r="J9" s="391"/>
      <c r="K9" s="428"/>
      <c r="L9" s="407"/>
      <c r="M9" s="250"/>
      <c r="N9" s="250"/>
      <c r="P9" s="222" t="s">
        <v>264</v>
      </c>
      <c r="Q9" s="224" t="s">
        <v>260</v>
      </c>
      <c r="R9" s="256" t="s">
        <v>255</v>
      </c>
      <c r="S9" s="257"/>
      <c r="T9" s="166">
        <v>1420.54</v>
      </c>
      <c r="U9" s="166">
        <f>T9/U8</f>
        <v>8.1640229885057476</v>
      </c>
      <c r="V9" s="166"/>
      <c r="W9" s="391"/>
      <c r="X9" s="428"/>
    </row>
    <row r="10" spans="1:24" x14ac:dyDescent="0.25">
      <c r="C10" s="229" t="s">
        <v>266</v>
      </c>
      <c r="D10" s="230" t="s">
        <v>262</v>
      </c>
      <c r="E10" s="234" t="s">
        <v>285</v>
      </c>
      <c r="F10" s="258"/>
      <c r="G10" s="166">
        <f>1954.15*1.06</f>
        <v>2071.3990000000003</v>
      </c>
      <c r="H10" s="166">
        <f>G10/H7</f>
        <v>11.90459195402299</v>
      </c>
      <c r="I10" s="166"/>
      <c r="J10" s="391"/>
      <c r="K10" s="428"/>
      <c r="L10" s="407"/>
      <c r="P10" s="223" t="s">
        <v>265</v>
      </c>
      <c r="Q10" s="225" t="s">
        <v>261</v>
      </c>
      <c r="R10" s="234" t="s">
        <v>316</v>
      </c>
      <c r="S10" s="258"/>
      <c r="T10" s="166">
        <v>2055.39</v>
      </c>
      <c r="U10" s="166">
        <f>T10/U8</f>
        <v>11.812586206896551</v>
      </c>
      <c r="V10" s="166"/>
      <c r="W10" s="391"/>
      <c r="X10" s="428"/>
    </row>
    <row r="11" spans="1:24" x14ac:dyDescent="0.25">
      <c r="C11" s="229" t="s">
        <v>267</v>
      </c>
      <c r="D11" s="230" t="s">
        <v>262</v>
      </c>
      <c r="E11" s="234" t="s">
        <v>286</v>
      </c>
      <c r="F11" s="258"/>
      <c r="G11" s="166">
        <f>1864.43*1.06</f>
        <v>1976.2958000000001</v>
      </c>
      <c r="H11" s="166">
        <f>G11/H7</f>
        <v>11.358021839080461</v>
      </c>
      <c r="I11" s="166"/>
      <c r="J11" s="391"/>
      <c r="K11" s="428"/>
      <c r="L11" s="407"/>
      <c r="P11" s="229" t="s">
        <v>266</v>
      </c>
      <c r="Q11" s="230" t="s">
        <v>262</v>
      </c>
      <c r="R11" s="259" t="s">
        <v>258</v>
      </c>
      <c r="S11" s="260"/>
      <c r="T11" s="166">
        <v>2129.64</v>
      </c>
      <c r="U11" s="166">
        <f>T11/U8</f>
        <v>12.239310344827585</v>
      </c>
      <c r="V11" s="166"/>
      <c r="W11" s="391"/>
      <c r="X11" s="428"/>
    </row>
    <row r="12" spans="1:24" x14ac:dyDescent="0.25">
      <c r="C12" s="229" t="s">
        <v>260</v>
      </c>
      <c r="D12" s="230" t="s">
        <v>262</v>
      </c>
      <c r="E12" s="234" t="s">
        <v>287</v>
      </c>
      <c r="F12" s="258"/>
      <c r="G12" s="166">
        <f>2053.84*1.06</f>
        <v>2177.0704000000001</v>
      </c>
      <c r="H12" s="166">
        <f>G12/H7</f>
        <v>12.511898850574713</v>
      </c>
      <c r="I12" s="166"/>
      <c r="J12" s="394"/>
      <c r="K12" s="428"/>
      <c r="L12" s="407"/>
      <c r="P12" s="229" t="s">
        <v>267</v>
      </c>
      <c r="Q12" s="230" t="s">
        <v>262</v>
      </c>
      <c r="R12" s="234" t="s">
        <v>285</v>
      </c>
      <c r="S12" s="258"/>
      <c r="T12" s="166">
        <v>1954.15</v>
      </c>
      <c r="U12" s="166">
        <f>T12/U8</f>
        <v>11.230747126436782</v>
      </c>
      <c r="V12" s="166" t="s">
        <v>468</v>
      </c>
      <c r="W12" s="391"/>
      <c r="X12" s="428"/>
    </row>
    <row r="13" spans="1:24" x14ac:dyDescent="0.25">
      <c r="C13" s="229" t="s">
        <v>268</v>
      </c>
      <c r="D13" s="230" t="s">
        <v>262</v>
      </c>
      <c r="E13" s="234" t="s">
        <v>343</v>
      </c>
      <c r="F13" s="258"/>
      <c r="G13" s="166">
        <f>2148.4*1.06</f>
        <v>2277.3040000000001</v>
      </c>
      <c r="H13" s="166">
        <f>G13/H7</f>
        <v>13.087954022988507</v>
      </c>
      <c r="I13" s="424"/>
      <c r="J13" s="425"/>
      <c r="K13" s="429"/>
      <c r="L13" s="407"/>
      <c r="P13" s="229" t="s">
        <v>260</v>
      </c>
      <c r="Q13" s="230" t="s">
        <v>262</v>
      </c>
      <c r="R13" s="234" t="s">
        <v>286</v>
      </c>
      <c r="S13" s="258"/>
      <c r="T13" s="166">
        <v>1864.43</v>
      </c>
      <c r="U13" s="166">
        <f>T13/U8</f>
        <v>10.715114942528736</v>
      </c>
      <c r="V13" s="166" t="s">
        <v>468</v>
      </c>
      <c r="W13" s="391"/>
      <c r="X13" s="428"/>
    </row>
    <row r="14" spans="1:24" x14ac:dyDescent="0.25">
      <c r="C14" s="229" t="s">
        <v>269</v>
      </c>
      <c r="D14" s="230" t="s">
        <v>262</v>
      </c>
      <c r="E14" s="234" t="s">
        <v>508</v>
      </c>
      <c r="F14" s="258"/>
      <c r="G14" s="166">
        <f>2172.31*1.06</f>
        <v>2302.6486</v>
      </c>
      <c r="H14" s="166">
        <f>G14/H7</f>
        <v>13.23361264367816</v>
      </c>
      <c r="I14" s="166"/>
      <c r="J14" s="163"/>
      <c r="K14" s="394"/>
      <c r="L14" s="407"/>
      <c r="P14" s="229" t="s">
        <v>268</v>
      </c>
      <c r="Q14" s="230" t="s">
        <v>262</v>
      </c>
      <c r="R14" s="234" t="s">
        <v>287</v>
      </c>
      <c r="S14" s="258"/>
      <c r="T14" s="166">
        <v>2053.84</v>
      </c>
      <c r="U14" s="166">
        <f>T14/U8</f>
        <v>11.80367816091954</v>
      </c>
      <c r="V14" s="166"/>
      <c r="W14" s="394"/>
      <c r="X14" s="428"/>
    </row>
    <row r="15" spans="1:24" ht="15.75" thickBot="1" x14ac:dyDescent="0.3">
      <c r="C15" s="229" t="s">
        <v>261</v>
      </c>
      <c r="D15" s="230" t="s">
        <v>262</v>
      </c>
      <c r="E15" s="234" t="s">
        <v>509</v>
      </c>
      <c r="F15" s="258"/>
      <c r="G15" s="168">
        <f>2148.4*1.06</f>
        <v>2277.3040000000001</v>
      </c>
      <c r="H15" s="168">
        <f>G15/H7</f>
        <v>13.087954022988507</v>
      </c>
      <c r="I15" s="167">
        <f>8*H7</f>
        <v>1392</v>
      </c>
      <c r="J15" s="243">
        <f>I15/I73</f>
        <v>0.2831858407079646</v>
      </c>
      <c r="K15" s="430"/>
      <c r="L15" s="407"/>
      <c r="P15" s="229" t="s">
        <v>269</v>
      </c>
      <c r="Q15" s="230" t="s">
        <v>262</v>
      </c>
      <c r="R15" s="234" t="s">
        <v>343</v>
      </c>
      <c r="S15" s="258"/>
      <c r="T15" s="423">
        <v>2148.4</v>
      </c>
      <c r="U15" s="166">
        <f>T15/U8</f>
        <v>12.347126436781609</v>
      </c>
      <c r="V15" s="424"/>
      <c r="W15" s="425"/>
      <c r="X15" s="429"/>
    </row>
    <row r="16" spans="1:24" ht="15.75" thickTop="1" x14ac:dyDescent="0.25">
      <c r="C16" s="229"/>
      <c r="D16" s="230"/>
      <c r="E16" s="219"/>
      <c r="F16" s="220"/>
      <c r="G16" s="171">
        <f>SUM(G8:G15)</f>
        <v>17531.340000000004</v>
      </c>
      <c r="H16" s="171">
        <f>SUM(H8:H15)/8</f>
        <v>12.594353448275863</v>
      </c>
      <c r="I16" s="171">
        <f>G16/I15</f>
        <v>12.594353448275864</v>
      </c>
      <c r="J16" s="343">
        <f>J15</f>
        <v>0.2831858407079646</v>
      </c>
      <c r="K16" s="393">
        <f>H16*J15</f>
        <v>3.5665425694232531</v>
      </c>
      <c r="L16" s="407"/>
      <c r="P16" s="229" t="s">
        <v>261</v>
      </c>
      <c r="Q16" s="230" t="s">
        <v>262</v>
      </c>
      <c r="R16" s="234" t="s">
        <v>508</v>
      </c>
      <c r="S16" s="260"/>
      <c r="T16" s="166">
        <v>2172.31</v>
      </c>
      <c r="U16" s="166">
        <f>T16/U8</f>
        <v>12.484540229885058</v>
      </c>
      <c r="V16" s="166"/>
      <c r="W16" s="163"/>
      <c r="X16" s="394"/>
    </row>
    <row r="17" spans="3:24" ht="15.75" customHeight="1" thickBot="1" x14ac:dyDescent="0.3">
      <c r="C17" s="229"/>
      <c r="D17" s="230"/>
      <c r="E17" s="794" t="s">
        <v>201</v>
      </c>
      <c r="F17" s="795"/>
      <c r="G17" s="253">
        <v>0.24690000000000001</v>
      </c>
      <c r="H17" s="23">
        <f>H16*G17</f>
        <v>3.1095458663793107</v>
      </c>
      <c r="I17" s="115"/>
      <c r="J17" s="242"/>
      <c r="K17" s="393"/>
      <c r="L17" s="407"/>
      <c r="P17" s="229" t="s">
        <v>270</v>
      </c>
      <c r="Q17" s="230" t="s">
        <v>262</v>
      </c>
      <c r="R17" s="234" t="s">
        <v>509</v>
      </c>
      <c r="S17" s="258"/>
      <c r="T17" s="431">
        <v>2148.4</v>
      </c>
      <c r="U17" s="168">
        <f>T17/U8</f>
        <v>12.347126436781609</v>
      </c>
      <c r="V17" s="167">
        <f>9*U8</f>
        <v>1566</v>
      </c>
      <c r="W17" s="243">
        <f>V17/V74</f>
        <v>0.31858407079646017</v>
      </c>
      <c r="X17" s="430"/>
    </row>
    <row r="18" spans="3:24" ht="16.5" customHeight="1" thickTop="1" thickBot="1" x14ac:dyDescent="0.3">
      <c r="C18" s="229"/>
      <c r="D18" s="230"/>
      <c r="E18" s="750" t="s">
        <v>155</v>
      </c>
      <c r="F18" s="751"/>
      <c r="G18" s="254">
        <v>3.5000000000000003E-2</v>
      </c>
      <c r="H18" s="177">
        <f>H16*G18</f>
        <v>0.44080237068965522</v>
      </c>
      <c r="I18" s="118"/>
      <c r="J18" s="163"/>
      <c r="K18" s="163"/>
      <c r="L18" s="407"/>
      <c r="P18" s="229"/>
      <c r="Q18" s="230"/>
      <c r="R18" s="219"/>
      <c r="S18" s="220"/>
      <c r="T18" s="171">
        <f>SUM(T9:T17)</f>
        <v>17947.099999999999</v>
      </c>
      <c r="U18" s="171">
        <f>SUM(U9:U17)/9</f>
        <v>11.460472541507023</v>
      </c>
      <c r="V18" s="171">
        <f>T18/V17</f>
        <v>11.460472541507023</v>
      </c>
      <c r="W18" s="343">
        <f>W17</f>
        <v>0.31858407079646017</v>
      </c>
      <c r="X18" s="393">
        <f>U18*W17</f>
        <v>3.6511239955243613</v>
      </c>
    </row>
    <row r="19" spans="3:24" ht="15.75" customHeight="1" thickTop="1" x14ac:dyDescent="0.25">
      <c r="C19" s="229"/>
      <c r="D19" s="230"/>
      <c r="E19" s="219"/>
      <c r="F19" s="220"/>
      <c r="G19" s="171"/>
      <c r="H19" s="115">
        <f>SUM(H16:H18)</f>
        <v>16.144701685344828</v>
      </c>
      <c r="I19" s="231"/>
      <c r="J19" s="242"/>
      <c r="K19" s="393"/>
      <c r="L19" s="407"/>
      <c r="P19" s="229"/>
      <c r="Q19" s="230"/>
      <c r="R19" s="797" t="s">
        <v>201</v>
      </c>
      <c r="S19" s="720"/>
      <c r="T19" s="253">
        <v>0.24690000000000001</v>
      </c>
      <c r="U19" s="23">
        <f>U18*T19</f>
        <v>2.8295906704980842</v>
      </c>
      <c r="V19" s="115"/>
      <c r="W19" s="242"/>
      <c r="X19" s="393"/>
    </row>
    <row r="20" spans="3:24" ht="41.25" customHeight="1" thickBot="1" x14ac:dyDescent="0.3">
      <c r="C20" s="229"/>
      <c r="D20" s="230"/>
      <c r="E20" s="748" t="s">
        <v>300</v>
      </c>
      <c r="F20" s="749"/>
      <c r="G20" s="166"/>
      <c r="H20" s="166"/>
      <c r="I20" s="166"/>
      <c r="J20" s="164"/>
      <c r="K20" s="391"/>
      <c r="L20" s="407"/>
      <c r="P20" s="229"/>
      <c r="Q20" s="230"/>
      <c r="R20" s="798" t="s">
        <v>155</v>
      </c>
      <c r="S20" s="689"/>
      <c r="T20" s="254">
        <v>3.5000000000000003E-2</v>
      </c>
      <c r="U20" s="177">
        <f>U18*T20</f>
        <v>0.40111653895274585</v>
      </c>
      <c r="V20" s="118"/>
      <c r="W20" s="242"/>
      <c r="X20" s="393"/>
    </row>
    <row r="21" spans="3:24" ht="15.75" thickTop="1" x14ac:dyDescent="0.25">
      <c r="C21" s="226" t="s">
        <v>270</v>
      </c>
      <c r="D21" s="227" t="s">
        <v>272</v>
      </c>
      <c r="E21" s="234" t="s">
        <v>507</v>
      </c>
      <c r="F21" s="258"/>
      <c r="G21" s="166">
        <f>2178.05*1.06</f>
        <v>2308.7330000000002</v>
      </c>
      <c r="H21" s="166">
        <f>G21/H7</f>
        <v>13.268580459770115</v>
      </c>
      <c r="I21" s="166"/>
      <c r="J21" s="164"/>
      <c r="K21" s="391"/>
      <c r="L21" s="407"/>
      <c r="P21" s="229"/>
      <c r="Q21" s="230"/>
      <c r="R21" s="219"/>
      <c r="S21" s="220"/>
      <c r="T21" s="171"/>
      <c r="U21" s="115">
        <f>SUM(U18:U20)</f>
        <v>14.691179750957854</v>
      </c>
      <c r="V21" s="231"/>
      <c r="W21" s="242"/>
      <c r="X21" s="393"/>
    </row>
    <row r="22" spans="3:24" x14ac:dyDescent="0.25">
      <c r="C22" s="226" t="s">
        <v>262</v>
      </c>
      <c r="D22" s="227" t="s">
        <v>272</v>
      </c>
      <c r="E22" s="234" t="s">
        <v>289</v>
      </c>
      <c r="F22" s="258"/>
      <c r="G22" s="166">
        <f>2140.05*1.06</f>
        <v>2268.4530000000004</v>
      </c>
      <c r="H22" s="166">
        <f>G22/H7</f>
        <v>13.037086206896554</v>
      </c>
      <c r="I22" s="166"/>
      <c r="J22" s="164"/>
      <c r="K22" s="391"/>
      <c r="L22" s="407"/>
      <c r="P22" s="229"/>
      <c r="Q22" s="230"/>
      <c r="R22" s="748" t="s">
        <v>300</v>
      </c>
      <c r="S22" s="799"/>
      <c r="T22" s="166"/>
      <c r="U22" s="166"/>
      <c r="V22" s="166"/>
      <c r="W22" s="164"/>
      <c r="X22" s="391"/>
    </row>
    <row r="23" spans="3:24" x14ac:dyDescent="0.25">
      <c r="C23" s="226" t="s">
        <v>271</v>
      </c>
      <c r="D23" s="227" t="s">
        <v>272</v>
      </c>
      <c r="E23" s="234" t="s">
        <v>291</v>
      </c>
      <c r="F23" s="258"/>
      <c r="G23" s="166">
        <f>2176.58*1.06</f>
        <v>2307.1748000000002</v>
      </c>
      <c r="H23" s="166">
        <f>G23/H7</f>
        <v>13.259625287356323</v>
      </c>
      <c r="I23" s="166"/>
      <c r="J23" s="164"/>
      <c r="K23" s="391"/>
      <c r="L23" s="407"/>
      <c r="P23" s="226" t="s">
        <v>262</v>
      </c>
      <c r="Q23" s="227" t="s">
        <v>272</v>
      </c>
      <c r="R23" s="234" t="s">
        <v>507</v>
      </c>
      <c r="S23" s="258"/>
      <c r="T23" s="166">
        <v>2178.0500000000002</v>
      </c>
      <c r="U23" s="166">
        <f>T23/U8</f>
        <v>12.517528735632185</v>
      </c>
      <c r="V23" s="166"/>
      <c r="W23" s="164"/>
      <c r="X23" s="391"/>
    </row>
    <row r="24" spans="3:24" x14ac:dyDescent="0.25">
      <c r="C24" s="226" t="s">
        <v>272</v>
      </c>
      <c r="D24" s="227" t="s">
        <v>272</v>
      </c>
      <c r="E24" s="234" t="s">
        <v>292</v>
      </c>
      <c r="F24" s="258"/>
      <c r="G24" s="166">
        <f>1928.95*1.06</f>
        <v>2044.6870000000001</v>
      </c>
      <c r="H24" s="166">
        <f>G24/H7</f>
        <v>11.751074712643678</v>
      </c>
      <c r="I24" s="166"/>
      <c r="J24" s="164"/>
      <c r="K24" s="391"/>
      <c r="L24" s="407"/>
      <c r="P24" s="226" t="s">
        <v>271</v>
      </c>
      <c r="Q24" s="227" t="s">
        <v>272</v>
      </c>
      <c r="R24" s="234" t="s">
        <v>289</v>
      </c>
      <c r="S24" s="258"/>
      <c r="T24" s="166">
        <v>2140.0500000000002</v>
      </c>
      <c r="U24" s="166">
        <f>T24/U8</f>
        <v>12.299137931034483</v>
      </c>
      <c r="V24" s="166"/>
      <c r="W24" s="164"/>
      <c r="X24" s="391"/>
    </row>
    <row r="25" spans="3:24" x14ac:dyDescent="0.25">
      <c r="C25" s="226" t="s">
        <v>273</v>
      </c>
      <c r="D25" s="227" t="s">
        <v>272</v>
      </c>
      <c r="E25" s="234" t="s">
        <v>293</v>
      </c>
      <c r="F25" s="258"/>
      <c r="G25" s="166">
        <f>2160.56*1.06</f>
        <v>2290.1936000000001</v>
      </c>
      <c r="H25" s="166">
        <f>G25/H7</f>
        <v>13.162032183908046</v>
      </c>
      <c r="I25" s="166"/>
      <c r="J25" s="164"/>
      <c r="K25" s="391"/>
      <c r="L25" s="407"/>
      <c r="P25" s="226" t="s">
        <v>272</v>
      </c>
      <c r="Q25" s="227" t="s">
        <v>272</v>
      </c>
      <c r="R25" s="234" t="s">
        <v>291</v>
      </c>
      <c r="S25" s="258"/>
      <c r="T25" s="166">
        <v>2176.58</v>
      </c>
      <c r="U25" s="166">
        <f>T25/U8</f>
        <v>12.509080459770114</v>
      </c>
      <c r="V25" s="166"/>
      <c r="W25" s="164"/>
      <c r="X25" s="391"/>
    </row>
    <row r="26" spans="3:24" x14ac:dyDescent="0.25">
      <c r="C26" s="226" t="s">
        <v>274</v>
      </c>
      <c r="D26" s="227" t="s">
        <v>272</v>
      </c>
      <c r="E26" s="234" t="s">
        <v>294</v>
      </c>
      <c r="F26" s="258"/>
      <c r="G26" s="166">
        <f>2148.4*1.06</f>
        <v>2277.3040000000001</v>
      </c>
      <c r="H26" s="166">
        <f>G26/H7</f>
        <v>13.087954022988507</v>
      </c>
      <c r="I26" s="166"/>
      <c r="J26" s="164"/>
      <c r="K26" s="391"/>
      <c r="L26" s="407"/>
      <c r="P26" s="226" t="s">
        <v>273</v>
      </c>
      <c r="Q26" s="227" t="s">
        <v>272</v>
      </c>
      <c r="R26" s="234" t="s">
        <v>292</v>
      </c>
      <c r="S26" s="258"/>
      <c r="T26" s="166">
        <v>1928.95</v>
      </c>
      <c r="U26" s="166">
        <f>T26/U8</f>
        <v>11.085919540229884</v>
      </c>
      <c r="V26" s="166"/>
      <c r="W26" s="164"/>
      <c r="X26" s="391"/>
    </row>
    <row r="27" spans="3:24" x14ac:dyDescent="0.25">
      <c r="C27" s="226" t="s">
        <v>275</v>
      </c>
      <c r="D27" s="227" t="s">
        <v>272</v>
      </c>
      <c r="E27" s="234" t="s">
        <v>295</v>
      </c>
      <c r="F27" s="258"/>
      <c r="G27" s="166">
        <f>2196.84*1.06</f>
        <v>2328.6504000000004</v>
      </c>
      <c r="H27" s="166">
        <f>G27/H7</f>
        <v>13.383048275862071</v>
      </c>
      <c r="I27" s="166"/>
      <c r="J27" s="164"/>
      <c r="K27" s="391"/>
      <c r="L27" s="407"/>
      <c r="P27" s="226" t="s">
        <v>274</v>
      </c>
      <c r="Q27" s="227" t="s">
        <v>272</v>
      </c>
      <c r="R27" s="234" t="s">
        <v>293</v>
      </c>
      <c r="S27" s="258"/>
      <c r="T27" s="166">
        <v>2160.56</v>
      </c>
      <c r="U27" s="166">
        <f>T27/U8</f>
        <v>12.417011494252874</v>
      </c>
      <c r="V27" s="166"/>
      <c r="W27" s="164"/>
      <c r="X27" s="391"/>
    </row>
    <row r="28" spans="3:24" ht="15.75" thickBot="1" x14ac:dyDescent="0.3">
      <c r="C28" s="226" t="s">
        <v>326</v>
      </c>
      <c r="D28" s="227" t="s">
        <v>272</v>
      </c>
      <c r="E28" s="234" t="s">
        <v>296</v>
      </c>
      <c r="F28" s="258"/>
      <c r="G28" s="168">
        <f>2053.71*1.06</f>
        <v>2176.9326000000001</v>
      </c>
      <c r="H28" s="168">
        <f>G28/H7</f>
        <v>12.511106896551725</v>
      </c>
      <c r="I28" s="167">
        <f>H7*8</f>
        <v>1392</v>
      </c>
      <c r="J28" s="243">
        <f>I28/I73</f>
        <v>0.2831858407079646</v>
      </c>
      <c r="K28" s="392"/>
      <c r="L28" s="407"/>
      <c r="P28" s="226" t="s">
        <v>275</v>
      </c>
      <c r="Q28" s="227" t="s">
        <v>272</v>
      </c>
      <c r="R28" s="234" t="s">
        <v>294</v>
      </c>
      <c r="S28" s="258"/>
      <c r="T28" s="423">
        <v>2148.4</v>
      </c>
      <c r="U28" s="166">
        <f>T28/U8</f>
        <v>12.347126436781609</v>
      </c>
      <c r="V28" s="166"/>
      <c r="W28" s="164"/>
      <c r="X28" s="391"/>
    </row>
    <row r="29" spans="3:24" ht="15.75" thickTop="1" x14ac:dyDescent="0.25">
      <c r="C29" s="226"/>
      <c r="D29" s="227"/>
      <c r="E29" s="219"/>
      <c r="F29" s="220"/>
      <c r="G29" s="171">
        <f>SUM(G21:G28)</f>
        <v>18002.128400000001</v>
      </c>
      <c r="H29" s="171">
        <f>SUM(H21:H28)/8</f>
        <v>12.932563505747126</v>
      </c>
      <c r="I29" s="171">
        <f>G29/I28</f>
        <v>12.932563505747128</v>
      </c>
      <c r="J29" s="343">
        <f>J28</f>
        <v>0.2831858407079646</v>
      </c>
      <c r="K29" s="539">
        <f>H29*J28</f>
        <v>3.6623188688841419</v>
      </c>
      <c r="L29" s="407"/>
      <c r="P29" s="226" t="s">
        <v>326</v>
      </c>
      <c r="Q29" s="227" t="s">
        <v>272</v>
      </c>
      <c r="R29" s="234" t="s">
        <v>295</v>
      </c>
      <c r="S29" s="258"/>
      <c r="T29" s="166">
        <v>2196.84</v>
      </c>
      <c r="U29" s="166">
        <f>T29/U8</f>
        <v>12.625517241379312</v>
      </c>
      <c r="V29" s="166"/>
      <c r="W29" s="164"/>
      <c r="X29" s="391"/>
    </row>
    <row r="30" spans="3:24" ht="15.75" customHeight="1" thickBot="1" x14ac:dyDescent="0.3">
      <c r="C30" s="226"/>
      <c r="D30" s="227"/>
      <c r="E30" s="794" t="s">
        <v>201</v>
      </c>
      <c r="F30" s="795"/>
      <c r="G30" s="253">
        <v>0.24690000000000001</v>
      </c>
      <c r="H30" s="23">
        <f>H29*G30</f>
        <v>3.1930499295689656</v>
      </c>
      <c r="I30" s="115"/>
      <c r="J30" s="117"/>
      <c r="K30" s="393"/>
      <c r="L30" s="407"/>
      <c r="P30" s="226" t="s">
        <v>327</v>
      </c>
      <c r="Q30" s="227" t="s">
        <v>272</v>
      </c>
      <c r="R30" s="234" t="s">
        <v>296</v>
      </c>
      <c r="S30" s="258"/>
      <c r="T30" s="168">
        <v>2053.71</v>
      </c>
      <c r="U30" s="168">
        <f>T30/U8</f>
        <v>11.802931034482759</v>
      </c>
      <c r="V30" s="167">
        <f>U8*8</f>
        <v>1392</v>
      </c>
      <c r="W30" s="243">
        <f>V30/V74</f>
        <v>0.2831858407079646</v>
      </c>
      <c r="X30" s="392"/>
    </row>
    <row r="31" spans="3:24" ht="16.5" customHeight="1" thickTop="1" thickBot="1" x14ac:dyDescent="0.3">
      <c r="C31" s="226"/>
      <c r="D31" s="227"/>
      <c r="E31" s="750" t="s">
        <v>155</v>
      </c>
      <c r="F31" s="751"/>
      <c r="G31" s="254">
        <v>3.5000000000000003E-2</v>
      </c>
      <c r="H31" s="177">
        <f>H29*G31</f>
        <v>0.45263972270114944</v>
      </c>
      <c r="I31" s="118"/>
      <c r="J31" s="119"/>
      <c r="K31" s="540"/>
      <c r="L31" s="407"/>
      <c r="P31" s="226"/>
      <c r="Q31" s="227"/>
      <c r="R31" s="219"/>
      <c r="S31" s="220"/>
      <c r="T31" s="171">
        <f>SUM(T23:T30)</f>
        <v>16983.14</v>
      </c>
      <c r="U31" s="171">
        <f>SUM(U23:U30)/8</f>
        <v>12.200531609195401</v>
      </c>
      <c r="V31" s="171">
        <f>T31/V30</f>
        <v>12.200531609195401</v>
      </c>
      <c r="W31" s="343">
        <f>W30</f>
        <v>0.2831858407079646</v>
      </c>
      <c r="X31" s="393">
        <f>U31*W30</f>
        <v>3.4550178008340962</v>
      </c>
    </row>
    <row r="32" spans="3:24" ht="15.75" customHeight="1" thickTop="1" x14ac:dyDescent="0.25">
      <c r="C32" s="229"/>
      <c r="D32" s="230"/>
      <c r="E32" s="748" t="s">
        <v>332</v>
      </c>
      <c r="F32" s="749"/>
      <c r="G32" s="166"/>
      <c r="H32" s="166"/>
      <c r="I32" s="166"/>
      <c r="J32" s="164"/>
      <c r="K32" s="391"/>
      <c r="L32" s="407"/>
      <c r="P32" s="226"/>
      <c r="Q32" s="227"/>
      <c r="R32" s="797" t="s">
        <v>201</v>
      </c>
      <c r="S32" s="720"/>
      <c r="T32" s="253">
        <v>0.24690000000000001</v>
      </c>
      <c r="U32" s="23">
        <f>U31*T32</f>
        <v>3.0123112543103447</v>
      </c>
      <c r="V32" s="115"/>
      <c r="W32" s="117"/>
      <c r="X32" s="393"/>
    </row>
    <row r="33" spans="3:24" ht="48.75" customHeight="1" thickBot="1" x14ac:dyDescent="0.3">
      <c r="C33" s="229" t="s">
        <v>327</v>
      </c>
      <c r="D33" s="230" t="s">
        <v>274</v>
      </c>
      <c r="E33" s="234" t="s">
        <v>297</v>
      </c>
      <c r="F33" s="258"/>
      <c r="G33" s="251">
        <f>1984.45*1.06</f>
        <v>2103.5170000000003</v>
      </c>
      <c r="H33" s="166">
        <f>G33/H7</f>
        <v>12.089178160919541</v>
      </c>
      <c r="I33" s="166"/>
      <c r="J33" s="164"/>
      <c r="K33" s="391"/>
      <c r="L33" s="407"/>
      <c r="P33" s="226"/>
      <c r="Q33" s="227"/>
      <c r="R33" s="798" t="s">
        <v>155</v>
      </c>
      <c r="S33" s="689"/>
      <c r="T33" s="254">
        <v>3.5000000000000003E-2</v>
      </c>
      <c r="U33" s="177">
        <f>U31*T33</f>
        <v>0.42701860632183908</v>
      </c>
      <c r="V33" s="118"/>
      <c r="W33" s="119"/>
      <c r="X33" s="393"/>
    </row>
    <row r="34" spans="3:24" ht="15.75" thickTop="1" x14ac:dyDescent="0.25">
      <c r="C34" s="229" t="s">
        <v>328</v>
      </c>
      <c r="D34" s="230" t="s">
        <v>274</v>
      </c>
      <c r="E34" s="234" t="s">
        <v>298</v>
      </c>
      <c r="F34" s="258"/>
      <c r="G34" s="166">
        <f>2192.51*1.06</f>
        <v>2324.0606000000002</v>
      </c>
      <c r="H34" s="166">
        <f>G34/H7</f>
        <v>13.35667011494253</v>
      </c>
      <c r="I34" s="166"/>
      <c r="J34" s="164"/>
      <c r="K34" s="391"/>
      <c r="L34" s="407"/>
      <c r="P34" s="226"/>
      <c r="Q34" s="227"/>
      <c r="R34" s="219"/>
      <c r="S34" s="220"/>
      <c r="T34" s="171"/>
      <c r="U34" s="115">
        <f>SUM(U31:U33)</f>
        <v>15.639861469827585</v>
      </c>
      <c r="V34" s="231"/>
      <c r="W34" s="242"/>
      <c r="X34" s="393"/>
    </row>
    <row r="35" spans="3:24" x14ac:dyDescent="0.25">
      <c r="C35" s="229" t="s">
        <v>329</v>
      </c>
      <c r="D35" s="230" t="s">
        <v>274</v>
      </c>
      <c r="E35" s="234" t="s">
        <v>299</v>
      </c>
      <c r="F35" s="258"/>
      <c r="G35" s="166">
        <f>2577.29*1.06</f>
        <v>2731.9274</v>
      </c>
      <c r="H35" s="166">
        <f>G35/H7</f>
        <v>15.700732183908046</v>
      </c>
      <c r="I35" s="166"/>
      <c r="J35" s="164"/>
      <c r="K35" s="391"/>
      <c r="L35" s="407"/>
      <c r="P35" s="229"/>
      <c r="Q35" s="230"/>
      <c r="R35" s="748" t="s">
        <v>332</v>
      </c>
      <c r="S35" s="799"/>
      <c r="T35" s="166"/>
      <c r="U35" s="166"/>
      <c r="V35" s="166"/>
      <c r="W35" s="164"/>
      <c r="X35" s="391"/>
    </row>
    <row r="36" spans="3:24" x14ac:dyDescent="0.25">
      <c r="C36" s="229" t="s">
        <v>276</v>
      </c>
      <c r="D36" s="230" t="s">
        <v>274</v>
      </c>
      <c r="E36" s="234" t="s">
        <v>623</v>
      </c>
      <c r="F36" s="258"/>
      <c r="G36" s="541">
        <f>2240.06*1.06</f>
        <v>2374.4636</v>
      </c>
      <c r="H36" s="541">
        <f>G36/H7</f>
        <v>13.646342528735632</v>
      </c>
      <c r="I36" s="541"/>
      <c r="J36" s="164"/>
      <c r="K36" s="391"/>
      <c r="L36" s="407"/>
      <c r="P36" s="229" t="s">
        <v>328</v>
      </c>
      <c r="Q36" s="230" t="s">
        <v>274</v>
      </c>
      <c r="R36" s="234" t="s">
        <v>297</v>
      </c>
      <c r="S36" s="258"/>
      <c r="T36" s="251">
        <v>1984.45</v>
      </c>
      <c r="U36" s="166">
        <f>T36/U8</f>
        <v>11.404885057471265</v>
      </c>
      <c r="V36" s="166"/>
      <c r="W36" s="164"/>
      <c r="X36" s="391"/>
    </row>
    <row r="37" spans="3:24" ht="15.75" thickBot="1" x14ac:dyDescent="0.3">
      <c r="C37" s="229" t="s">
        <v>277</v>
      </c>
      <c r="D37" s="230" t="s">
        <v>274</v>
      </c>
      <c r="E37" s="234" t="s">
        <v>302</v>
      </c>
      <c r="F37" s="258"/>
      <c r="G37" s="252">
        <f>2323.46*1.06</f>
        <v>2462.8676</v>
      </c>
      <c r="H37" s="168">
        <f>G37/H7</f>
        <v>14.154411494252873</v>
      </c>
      <c r="I37" s="167">
        <f>5*H7</f>
        <v>870</v>
      </c>
      <c r="J37" s="243">
        <f>I37/I73</f>
        <v>0.17699115044247787</v>
      </c>
      <c r="K37" s="392"/>
      <c r="L37" s="407"/>
      <c r="P37" s="229" t="s">
        <v>329</v>
      </c>
      <c r="Q37" s="230" t="s">
        <v>274</v>
      </c>
      <c r="R37" s="234" t="s">
        <v>298</v>
      </c>
      <c r="S37" s="258"/>
      <c r="T37" s="166">
        <v>2192.5100000000002</v>
      </c>
      <c r="U37" s="166">
        <f>T37/U8</f>
        <v>12.600632183908047</v>
      </c>
      <c r="V37" s="166"/>
      <c r="W37" s="164"/>
      <c r="X37" s="391"/>
    </row>
    <row r="38" spans="3:24" ht="15.75" thickTop="1" x14ac:dyDescent="0.25">
      <c r="C38" s="229"/>
      <c r="D38" s="230"/>
      <c r="E38" s="234"/>
      <c r="F38" s="258"/>
      <c r="G38" s="542"/>
      <c r="H38" s="543"/>
      <c r="I38" s="544"/>
      <c r="J38" s="545"/>
      <c r="K38" s="546"/>
      <c r="L38" s="407"/>
      <c r="P38" s="229" t="s">
        <v>276</v>
      </c>
      <c r="Q38" s="230" t="s">
        <v>274</v>
      </c>
      <c r="R38" s="234" t="s">
        <v>299</v>
      </c>
      <c r="S38" s="258"/>
      <c r="T38" s="166">
        <v>2577.29</v>
      </c>
      <c r="U38" s="166">
        <f>T38/U8</f>
        <v>14.812011494252873</v>
      </c>
      <c r="V38" s="166"/>
      <c r="W38" s="164"/>
      <c r="X38" s="391"/>
    </row>
    <row r="39" spans="3:24" ht="15.75" thickBot="1" x14ac:dyDescent="0.3">
      <c r="C39" s="229"/>
      <c r="D39" s="230"/>
      <c r="E39" s="219"/>
      <c r="F39" s="220"/>
      <c r="G39" s="171">
        <f>SUM(G33:G37)</f>
        <v>11996.8362</v>
      </c>
      <c r="H39" s="171">
        <f>SUM(H33:H37)/5</f>
        <v>13.789466896551724</v>
      </c>
      <c r="I39" s="171">
        <f>G39/I37</f>
        <v>13.789466896551724</v>
      </c>
      <c r="J39" s="343">
        <f>J37</f>
        <v>0.17699115044247787</v>
      </c>
      <c r="K39" s="393">
        <f>H39*J37</f>
        <v>2.4406136100091547</v>
      </c>
      <c r="L39" s="407"/>
      <c r="P39" s="229" t="s">
        <v>277</v>
      </c>
      <c r="Q39" s="230" t="s">
        <v>274</v>
      </c>
      <c r="R39" s="234" t="s">
        <v>302</v>
      </c>
      <c r="S39" s="258"/>
      <c r="T39" s="252">
        <v>2323.46</v>
      </c>
      <c r="U39" s="168">
        <f>T39/U8</f>
        <v>13.353218390804598</v>
      </c>
      <c r="V39" s="167">
        <f>4*U8</f>
        <v>696</v>
      </c>
      <c r="W39" s="243">
        <f>V39/V74</f>
        <v>0.1415929203539823</v>
      </c>
      <c r="X39" s="392"/>
    </row>
    <row r="40" spans="3:24" ht="15.75" thickTop="1" x14ac:dyDescent="0.25">
      <c r="C40" s="229"/>
      <c r="D40" s="230"/>
      <c r="E40" s="794" t="s">
        <v>201</v>
      </c>
      <c r="F40" s="795"/>
      <c r="G40" s="253">
        <v>0.24690000000000001</v>
      </c>
      <c r="H40" s="23">
        <f>H39*G40</f>
        <v>3.404619376758621</v>
      </c>
      <c r="I40" s="115"/>
      <c r="J40" s="242"/>
      <c r="K40" s="393"/>
      <c r="L40" s="407"/>
      <c r="P40" s="229"/>
      <c r="Q40" s="230"/>
      <c r="R40" s="219"/>
      <c r="S40" s="220"/>
      <c r="T40" s="171">
        <f>SUM(T36:T39)</f>
        <v>9077.7099999999991</v>
      </c>
      <c r="U40" s="171">
        <f>SUM(U36:U39)/4</f>
        <v>13.042686781609197</v>
      </c>
      <c r="V40" s="171">
        <f>T40/V39</f>
        <v>13.042686781609195</v>
      </c>
      <c r="W40" s="343">
        <f>W39</f>
        <v>0.1415929203539823</v>
      </c>
      <c r="X40" s="393">
        <f>U40*W39</f>
        <v>1.8467521106703286</v>
      </c>
    </row>
    <row r="41" spans="3:24" ht="15" customHeight="1" thickBot="1" x14ac:dyDescent="0.3">
      <c r="C41" s="229"/>
      <c r="D41" s="230"/>
      <c r="E41" s="750" t="s">
        <v>155</v>
      </c>
      <c r="F41" s="751"/>
      <c r="G41" s="254">
        <v>3.5000000000000003E-2</v>
      </c>
      <c r="H41" s="177">
        <f>H39*G41</f>
        <v>0.48263134137931041</v>
      </c>
      <c r="I41" s="118"/>
      <c r="J41" s="242"/>
      <c r="K41" s="393"/>
      <c r="L41" s="407"/>
      <c r="P41" s="229"/>
      <c r="Q41" s="230"/>
      <c r="R41" s="797" t="s">
        <v>201</v>
      </c>
      <c r="S41" s="720"/>
      <c r="T41" s="253">
        <v>0.24690000000000001</v>
      </c>
      <c r="U41" s="23">
        <f>U40*T41</f>
        <v>3.2202393663793107</v>
      </c>
      <c r="V41" s="115"/>
      <c r="W41" s="242"/>
      <c r="X41" s="393"/>
    </row>
    <row r="42" spans="3:24" ht="37.5" customHeight="1" thickTop="1" thickBot="1" x14ac:dyDescent="0.3">
      <c r="C42" s="229"/>
      <c r="D42" s="230"/>
      <c r="E42" s="219"/>
      <c r="F42" s="220"/>
      <c r="G42" s="171"/>
      <c r="H42" s="115">
        <f>SUM(H39:H41)</f>
        <v>17.676717614689657</v>
      </c>
      <c r="I42" s="231"/>
      <c r="J42" s="242"/>
      <c r="K42" s="393"/>
      <c r="L42" s="407"/>
      <c r="P42" s="229"/>
      <c r="Q42" s="230"/>
      <c r="R42" s="798" t="s">
        <v>155</v>
      </c>
      <c r="S42" s="689"/>
      <c r="T42" s="254">
        <v>3.5000000000000003E-2</v>
      </c>
      <c r="U42" s="177">
        <f>U40*T42</f>
        <v>0.45649403735632194</v>
      </c>
      <c r="V42" s="118"/>
      <c r="W42" s="242"/>
      <c r="X42" s="393"/>
    </row>
    <row r="43" spans="3:24" ht="15.75" customHeight="1" thickTop="1" x14ac:dyDescent="0.25">
      <c r="C43" s="226"/>
      <c r="D43" s="227"/>
      <c r="E43" s="748" t="s">
        <v>333</v>
      </c>
      <c r="F43" s="749"/>
      <c r="G43" s="166"/>
      <c r="H43" s="166"/>
      <c r="I43" s="166"/>
      <c r="J43" s="164"/>
      <c r="K43" s="391"/>
      <c r="L43" s="407"/>
      <c r="P43" s="229"/>
      <c r="Q43" s="230"/>
      <c r="R43" s="219"/>
      <c r="S43" s="220"/>
      <c r="T43" s="171"/>
      <c r="U43" s="115">
        <f>SUM(U40:U42)</f>
        <v>16.719420185344831</v>
      </c>
      <c r="V43" s="231"/>
      <c r="W43" s="242"/>
      <c r="X43" s="393"/>
    </row>
    <row r="44" spans="3:24" x14ac:dyDescent="0.25">
      <c r="C44" s="226" t="s">
        <v>278</v>
      </c>
      <c r="D44" s="227" t="s">
        <v>304</v>
      </c>
      <c r="E44" s="234" t="s">
        <v>290</v>
      </c>
      <c r="F44" s="258"/>
      <c r="G44" s="166">
        <f>2347.06*1.06</f>
        <v>2487.8836000000001</v>
      </c>
      <c r="H44" s="166">
        <f>G44/H7</f>
        <v>14.298181609195403</v>
      </c>
      <c r="I44" s="166"/>
      <c r="J44" s="164"/>
      <c r="K44" s="391"/>
      <c r="L44" s="407"/>
      <c r="P44" s="226"/>
      <c r="Q44" s="227"/>
      <c r="R44" s="748" t="s">
        <v>333</v>
      </c>
      <c r="S44" s="799"/>
      <c r="T44" s="166"/>
      <c r="U44" s="166"/>
      <c r="V44" s="166"/>
      <c r="W44" s="164"/>
      <c r="X44" s="391"/>
    </row>
    <row r="45" spans="3:24" x14ac:dyDescent="0.25">
      <c r="C45" s="226" t="s">
        <v>279</v>
      </c>
      <c r="D45" s="227" t="s">
        <v>274</v>
      </c>
      <c r="E45" s="234" t="s">
        <v>305</v>
      </c>
      <c r="F45" s="258"/>
      <c r="G45" s="166">
        <f>2238.49*1.06</f>
        <v>2372.7993999999999</v>
      </c>
      <c r="H45" s="166">
        <f>G45/H7</f>
        <v>13.636778160919539</v>
      </c>
      <c r="I45" s="166"/>
      <c r="J45" s="164"/>
      <c r="K45" s="391"/>
      <c r="L45" s="407"/>
      <c r="P45" s="226" t="s">
        <v>278</v>
      </c>
      <c r="Q45" s="227" t="s">
        <v>304</v>
      </c>
      <c r="R45" s="234" t="s">
        <v>290</v>
      </c>
      <c r="S45" s="258"/>
      <c r="T45" s="166">
        <v>2347.06</v>
      </c>
      <c r="U45" s="166">
        <f>T45/U8</f>
        <v>13.488850574712643</v>
      </c>
      <c r="V45" s="166"/>
      <c r="W45" s="164"/>
      <c r="X45" s="391"/>
    </row>
    <row r="46" spans="3:24" ht="15.75" thickBot="1" x14ac:dyDescent="0.3">
      <c r="C46" s="226" t="s">
        <v>281</v>
      </c>
      <c r="D46" s="227" t="s">
        <v>274</v>
      </c>
      <c r="E46" s="234" t="s">
        <v>310</v>
      </c>
      <c r="F46" s="258"/>
      <c r="G46" s="431">
        <f>2238.49*1.06</f>
        <v>2372.7993999999999</v>
      </c>
      <c r="H46" s="168">
        <f>G46/H7</f>
        <v>13.636778160919539</v>
      </c>
      <c r="I46" s="167">
        <f>H7*3</f>
        <v>522</v>
      </c>
      <c r="J46" s="243">
        <f>I46/I73</f>
        <v>0.10619469026548672</v>
      </c>
      <c r="K46" s="392"/>
      <c r="L46" s="407"/>
      <c r="P46" s="226" t="s">
        <v>279</v>
      </c>
      <c r="Q46" s="227" t="s">
        <v>274</v>
      </c>
      <c r="R46" s="234" t="s">
        <v>305</v>
      </c>
      <c r="S46" s="260"/>
      <c r="T46" s="166">
        <v>2238.4899999999998</v>
      </c>
      <c r="U46" s="166">
        <f>T46/U8</f>
        <v>12.864885057471263</v>
      </c>
      <c r="V46" s="166"/>
      <c r="W46" s="164"/>
      <c r="X46" s="391"/>
    </row>
    <row r="47" spans="3:24" ht="15.75" thickTop="1" x14ac:dyDescent="0.25">
      <c r="C47" s="226"/>
      <c r="D47" s="227"/>
      <c r="E47" s="219"/>
      <c r="F47" s="220"/>
      <c r="G47" s="171">
        <f>SUM(G44:G46)</f>
        <v>7233.4823999999999</v>
      </c>
      <c r="H47" s="171">
        <f>SUM(H44:H46)/3</f>
        <v>13.857245977011495</v>
      </c>
      <c r="I47" s="171">
        <f>G47/I46</f>
        <v>13.857245977011495</v>
      </c>
      <c r="J47" s="344">
        <f>J46</f>
        <v>0.10619469026548672</v>
      </c>
      <c r="K47" s="395">
        <f>J46*H47</f>
        <v>1.4715659444613975</v>
      </c>
      <c r="L47" s="407"/>
      <c r="P47" s="226" t="s">
        <v>280</v>
      </c>
      <c r="Q47" s="227" t="s">
        <v>306</v>
      </c>
      <c r="R47" s="259" t="s">
        <v>301</v>
      </c>
      <c r="S47" s="260"/>
      <c r="T47" s="166">
        <v>2988.14</v>
      </c>
      <c r="U47" s="166">
        <f>T47/U8</f>
        <v>17.173218390804596</v>
      </c>
      <c r="V47" s="166"/>
      <c r="W47" s="163"/>
      <c r="X47" s="394"/>
    </row>
    <row r="48" spans="3:24" ht="15.75" thickBot="1" x14ac:dyDescent="0.3">
      <c r="C48" s="226"/>
      <c r="D48" s="227"/>
      <c r="E48" s="794" t="s">
        <v>201</v>
      </c>
      <c r="F48" s="795"/>
      <c r="G48" s="253">
        <v>0.24690000000000001</v>
      </c>
      <c r="H48" s="23">
        <f>H47*G48</f>
        <v>3.421354031724138</v>
      </c>
      <c r="I48" s="115"/>
      <c r="J48" s="244"/>
      <c r="K48" s="395"/>
      <c r="L48" s="407"/>
      <c r="P48" s="226" t="s">
        <v>281</v>
      </c>
      <c r="Q48" s="227" t="s">
        <v>274</v>
      </c>
      <c r="R48" s="234" t="s">
        <v>310</v>
      </c>
      <c r="S48" s="258"/>
      <c r="T48" s="431">
        <v>2238.4899999999998</v>
      </c>
      <c r="U48" s="168">
        <f>T48/U8</f>
        <v>12.864885057471263</v>
      </c>
      <c r="V48" s="167">
        <f>U8*4</f>
        <v>696</v>
      </c>
      <c r="W48" s="243">
        <f>V48/V74</f>
        <v>0.1415929203539823</v>
      </c>
      <c r="X48" s="392"/>
    </row>
    <row r="49" spans="3:24" ht="15.75" customHeight="1" thickTop="1" thickBot="1" x14ac:dyDescent="0.3">
      <c r="C49" s="226"/>
      <c r="D49" s="227"/>
      <c r="E49" s="750" t="s">
        <v>155</v>
      </c>
      <c r="F49" s="751"/>
      <c r="G49" s="254">
        <v>3.5000000000000003E-2</v>
      </c>
      <c r="H49" s="177">
        <f>H47*G49</f>
        <v>0.48500360919540236</v>
      </c>
      <c r="I49" s="118"/>
      <c r="J49" s="244"/>
      <c r="K49" s="395"/>
      <c r="L49" s="407"/>
      <c r="P49" s="226"/>
      <c r="Q49" s="227"/>
      <c r="R49" s="219"/>
      <c r="S49" s="220"/>
      <c r="T49" s="171">
        <f>SUM(T45:T48)</f>
        <v>9812.1799999999985</v>
      </c>
      <c r="U49" s="171">
        <f>SUM(U45:U48)/4</f>
        <v>14.097959770114942</v>
      </c>
      <c r="V49" s="171">
        <f>T49/V48</f>
        <v>14.09795977011494</v>
      </c>
      <c r="W49" s="344">
        <f>W48</f>
        <v>0.1415929203539823</v>
      </c>
      <c r="X49" s="395">
        <f>W48*U49</f>
        <v>1.9961712948835315</v>
      </c>
    </row>
    <row r="50" spans="3:24" ht="15.75" customHeight="1" thickTop="1" x14ac:dyDescent="0.25">
      <c r="C50" s="226"/>
      <c r="D50" s="227"/>
      <c r="E50" s="219"/>
      <c r="F50" s="220"/>
      <c r="G50" s="171"/>
      <c r="H50" s="115">
        <f>SUM(H47:H49)</f>
        <v>17.763603617931036</v>
      </c>
      <c r="I50" s="231"/>
      <c r="J50" s="244"/>
      <c r="K50" s="395"/>
      <c r="L50" s="407"/>
      <c r="P50" s="226"/>
      <c r="Q50" s="227"/>
      <c r="R50" s="797" t="s">
        <v>201</v>
      </c>
      <c r="S50" s="720"/>
      <c r="T50" s="253">
        <v>0.24690000000000001</v>
      </c>
      <c r="U50" s="23">
        <f>U49*T50</f>
        <v>3.4807862672413794</v>
      </c>
      <c r="V50" s="115"/>
      <c r="W50" s="244"/>
      <c r="X50" s="395"/>
    </row>
    <row r="51" spans="3:24" ht="36" customHeight="1" thickBot="1" x14ac:dyDescent="0.3">
      <c r="C51" s="305"/>
      <c r="D51" s="547"/>
      <c r="E51" s="752" t="s">
        <v>313</v>
      </c>
      <c r="F51" s="753"/>
      <c r="G51" s="266"/>
      <c r="H51" s="266"/>
      <c r="I51" s="266"/>
      <c r="J51" s="307"/>
      <c r="K51" s="396"/>
      <c r="L51" s="407"/>
      <c r="P51" s="226"/>
      <c r="Q51" s="227"/>
      <c r="R51" s="798" t="s">
        <v>155</v>
      </c>
      <c r="S51" s="689"/>
      <c r="T51" s="254">
        <v>3.5000000000000003E-2</v>
      </c>
      <c r="U51" s="177">
        <f>U49*T51</f>
        <v>0.493428591954023</v>
      </c>
      <c r="V51" s="118"/>
      <c r="W51" s="244"/>
      <c r="X51" s="395"/>
    </row>
    <row r="52" spans="3:24" ht="15.75" thickTop="1" x14ac:dyDescent="0.25">
      <c r="C52" s="269" t="s">
        <v>282</v>
      </c>
      <c r="D52" s="273" t="s">
        <v>282</v>
      </c>
      <c r="E52" s="274" t="s">
        <v>308</v>
      </c>
      <c r="F52" s="275"/>
      <c r="G52" s="276">
        <f>3216.33*1.06</f>
        <v>3409.3098</v>
      </c>
      <c r="H52" s="271">
        <f>G52/H7</f>
        <v>19.59373448275862</v>
      </c>
      <c r="I52" s="277"/>
      <c r="J52" s="272"/>
      <c r="K52" s="397"/>
      <c r="L52" s="407"/>
      <c r="P52" s="226"/>
      <c r="Q52" s="227"/>
      <c r="R52" s="219"/>
      <c r="S52" s="220"/>
      <c r="T52" s="171"/>
      <c r="U52" s="115">
        <f>SUM(U49:U51)</f>
        <v>18.072174629310343</v>
      </c>
      <c r="V52" s="231"/>
      <c r="W52" s="244"/>
      <c r="X52" s="395"/>
    </row>
    <row r="53" spans="3:24" x14ac:dyDescent="0.25">
      <c r="C53" s="269" t="s">
        <v>280</v>
      </c>
      <c r="D53" s="273" t="s">
        <v>306</v>
      </c>
      <c r="E53" s="548" t="s">
        <v>301</v>
      </c>
      <c r="F53" s="296"/>
      <c r="G53" s="271">
        <f>3215.14*1.06</f>
        <v>3408.0484000000001</v>
      </c>
      <c r="H53" s="271">
        <f>G53/H7</f>
        <v>19.586485057471265</v>
      </c>
      <c r="I53" s="271"/>
      <c r="J53" s="272"/>
      <c r="K53" s="397"/>
      <c r="L53" s="407"/>
      <c r="P53" s="305"/>
      <c r="Q53" s="306"/>
      <c r="R53" s="752" t="s">
        <v>313</v>
      </c>
      <c r="S53" s="800"/>
      <c r="T53" s="266"/>
      <c r="U53" s="266"/>
      <c r="V53" s="266"/>
      <c r="W53" s="307"/>
      <c r="X53" s="396"/>
    </row>
    <row r="54" spans="3:24" ht="15.75" thickBot="1" x14ac:dyDescent="0.3">
      <c r="C54" s="269" t="s">
        <v>283</v>
      </c>
      <c r="D54" s="273" t="s">
        <v>284</v>
      </c>
      <c r="E54" s="274" t="s">
        <v>309</v>
      </c>
      <c r="F54" s="275">
        <v>158</v>
      </c>
      <c r="G54" s="278">
        <f>3888.66*1.06</f>
        <v>4121.9795999999997</v>
      </c>
      <c r="H54" s="279">
        <f>G54/H7</f>
        <v>23.689537931034479</v>
      </c>
      <c r="I54" s="280">
        <f>H7*3</f>
        <v>522</v>
      </c>
      <c r="J54" s="281">
        <f>I54/I73</f>
        <v>0.10619469026548672</v>
      </c>
      <c r="K54" s="398"/>
      <c r="L54" s="407"/>
      <c r="P54" s="269" t="s">
        <v>282</v>
      </c>
      <c r="Q54" s="273" t="s">
        <v>282</v>
      </c>
      <c r="R54" s="274" t="s">
        <v>308</v>
      </c>
      <c r="S54" s="275"/>
      <c r="T54" s="276">
        <v>3216.33</v>
      </c>
      <c r="U54" s="271">
        <f>T54/U8</f>
        <v>18.484655172413792</v>
      </c>
      <c r="V54" s="277"/>
      <c r="W54" s="272"/>
      <c r="X54" s="397"/>
    </row>
    <row r="55" spans="3:24" ht="24.75" thickTop="1" thickBot="1" x14ac:dyDescent="0.3">
      <c r="C55" s="269"/>
      <c r="D55" s="273"/>
      <c r="E55" s="283"/>
      <c r="F55" s="284"/>
      <c r="G55" s="285">
        <f>SUM(G52:G54)</f>
        <v>10939.337800000001</v>
      </c>
      <c r="H55" s="285">
        <f>(H52+H53+H54)/3</f>
        <v>20.956585823754789</v>
      </c>
      <c r="I55" s="286">
        <f>G55/I54</f>
        <v>20.956585823754793</v>
      </c>
      <c r="J55" s="345">
        <f>J54</f>
        <v>0.10619469026548672</v>
      </c>
      <c r="K55" s="318">
        <f>J54*H55</f>
        <v>2.22547814057573</v>
      </c>
      <c r="L55" s="407"/>
      <c r="P55" s="269" t="s">
        <v>283</v>
      </c>
      <c r="Q55" s="273" t="s">
        <v>284</v>
      </c>
      <c r="R55" s="274" t="s">
        <v>309</v>
      </c>
      <c r="S55" s="275">
        <v>158</v>
      </c>
      <c r="T55" s="278">
        <v>3888.66</v>
      </c>
      <c r="U55" s="279">
        <f>T55/U8</f>
        <v>22.348620689655171</v>
      </c>
      <c r="V55" s="280">
        <f>U8*2</f>
        <v>348</v>
      </c>
      <c r="W55" s="281">
        <f>V55/V74</f>
        <v>7.0796460176991149E-2</v>
      </c>
      <c r="X55" s="398"/>
    </row>
    <row r="56" spans="3:24" ht="15.75" thickTop="1" x14ac:dyDescent="0.25">
      <c r="C56" s="269"/>
      <c r="D56" s="273"/>
      <c r="E56" s="794" t="s">
        <v>201</v>
      </c>
      <c r="F56" s="795"/>
      <c r="G56" s="253">
        <v>0.24690000000000001</v>
      </c>
      <c r="H56" s="23">
        <f>H55*G56</f>
        <v>5.1741810398850578</v>
      </c>
      <c r="I56" s="115"/>
      <c r="J56" s="272"/>
      <c r="K56" s="397">
        <f>K55/24</f>
        <v>9.2728255857322084E-2</v>
      </c>
      <c r="L56" s="407"/>
      <c r="P56" s="269"/>
      <c r="Q56" s="270"/>
      <c r="R56" s="283"/>
      <c r="S56" s="284"/>
      <c r="T56" s="285">
        <f>SUM(T54:T55)</f>
        <v>7104.99</v>
      </c>
      <c r="U56" s="285">
        <f>(U54+U55)/2</f>
        <v>20.416637931034479</v>
      </c>
      <c r="V56" s="286">
        <f>T56/V55</f>
        <v>20.416637931034483</v>
      </c>
      <c r="W56" s="345">
        <f>W55</f>
        <v>7.0796460176991149E-2</v>
      </c>
      <c r="X56" s="318">
        <f>W55*U56</f>
        <v>1.4454256942325294</v>
      </c>
    </row>
    <row r="57" spans="3:24" ht="15" customHeight="1" thickBot="1" x14ac:dyDescent="0.3">
      <c r="C57" s="293"/>
      <c r="D57" s="549"/>
      <c r="E57" s="750" t="s">
        <v>155</v>
      </c>
      <c r="F57" s="751"/>
      <c r="G57" s="254">
        <v>3.5000000000000003E-2</v>
      </c>
      <c r="H57" s="177">
        <f>H55*G57</f>
        <v>0.73348050383141772</v>
      </c>
      <c r="I57" s="118"/>
      <c r="J57" s="304"/>
      <c r="K57" s="317"/>
      <c r="L57" s="407"/>
      <c r="P57" s="269"/>
      <c r="Q57" s="270"/>
      <c r="R57" s="797" t="s">
        <v>201</v>
      </c>
      <c r="S57" s="720"/>
      <c r="T57" s="253">
        <v>0.24690000000000001</v>
      </c>
      <c r="U57" s="23">
        <f>U56*T57</f>
        <v>5.040867905172413</v>
      </c>
      <c r="V57" s="115"/>
      <c r="W57" s="272"/>
      <c r="X57" s="397">
        <f>X56/24</f>
        <v>6.0226070593022062E-2</v>
      </c>
    </row>
    <row r="58" spans="3:24" ht="51" customHeight="1" thickTop="1" thickBot="1" x14ac:dyDescent="0.3">
      <c r="C58" s="293"/>
      <c r="D58" s="549"/>
      <c r="E58" s="315"/>
      <c r="F58" s="316"/>
      <c r="G58" s="285"/>
      <c r="H58" s="115">
        <f>SUM(H55:H57)</f>
        <v>26.864247367471268</v>
      </c>
      <c r="I58" s="286"/>
      <c r="J58" s="304"/>
      <c r="K58" s="317"/>
      <c r="L58" s="407"/>
      <c r="P58" s="293"/>
      <c r="Q58" s="294"/>
      <c r="R58" s="798" t="s">
        <v>155</v>
      </c>
      <c r="S58" s="689"/>
      <c r="T58" s="254">
        <v>3.5000000000000003E-2</v>
      </c>
      <c r="U58" s="177">
        <f>U56*T58</f>
        <v>0.71458232758620688</v>
      </c>
      <c r="V58" s="118"/>
      <c r="W58" s="304"/>
      <c r="X58" s="317"/>
    </row>
    <row r="59" spans="3:24" ht="15.75" customHeight="1" thickTop="1" x14ac:dyDescent="0.25">
      <c r="C59" s="293"/>
      <c r="D59" s="549"/>
      <c r="E59" s="312"/>
      <c r="F59" s="313"/>
      <c r="G59" s="300"/>
      <c r="H59" s="301"/>
      <c r="I59" s="314"/>
      <c r="J59" s="304"/>
      <c r="K59" s="317"/>
      <c r="L59" s="407"/>
      <c r="P59" s="293"/>
      <c r="Q59" s="294"/>
      <c r="R59" s="315"/>
      <c r="S59" s="316"/>
      <c r="T59" s="285"/>
      <c r="U59" s="115">
        <f>SUM(U56:U58)</f>
        <v>26.172088163793099</v>
      </c>
      <c r="V59" s="286"/>
      <c r="W59" s="304"/>
      <c r="X59" s="317"/>
    </row>
    <row r="60" spans="3:24" x14ac:dyDescent="0.25">
      <c r="C60" s="235"/>
      <c r="D60" s="550"/>
      <c r="E60" s="810" t="s">
        <v>314</v>
      </c>
      <c r="F60" s="811"/>
      <c r="G60" s="237">
        <f>G55+G47+G39+G29+G16</f>
        <v>65703.124800000005</v>
      </c>
      <c r="H60" s="238">
        <f>G60/I60</f>
        <v>13.985339463601534</v>
      </c>
      <c r="I60" s="239">
        <f>I54+I46+I37+I28+I15</f>
        <v>4698</v>
      </c>
      <c r="J60" s="245">
        <f>J15+J28+J37+J46+J54</f>
        <v>0.95575221238938046</v>
      </c>
      <c r="K60" s="399">
        <f>K16+K29+K39+K47+K55</f>
        <v>13.366519133353677</v>
      </c>
      <c r="L60" s="407"/>
      <c r="P60" s="293"/>
      <c r="Q60" s="294"/>
      <c r="R60" s="312"/>
      <c r="S60" s="313"/>
      <c r="T60" s="300"/>
      <c r="U60" s="301"/>
      <c r="V60" s="314"/>
      <c r="W60" s="304"/>
      <c r="X60" s="317"/>
    </row>
    <row r="61" spans="3:24" ht="15.75" thickBot="1" x14ac:dyDescent="0.3">
      <c r="C61" s="288"/>
      <c r="D61" s="551"/>
      <c r="E61" s="290"/>
      <c r="F61" s="291"/>
      <c r="G61" s="292"/>
      <c r="H61" s="279"/>
      <c r="I61" s="280"/>
      <c r="J61" s="552"/>
      <c r="K61" s="398"/>
      <c r="L61" s="407"/>
      <c r="P61" s="235"/>
      <c r="Q61" s="236"/>
      <c r="R61" s="810" t="s">
        <v>314</v>
      </c>
      <c r="S61" s="811"/>
      <c r="T61" s="237">
        <f>T56+T49+T40+T31+T18</f>
        <v>60925.119999999995</v>
      </c>
      <c r="U61" s="238">
        <f>T61/V61</f>
        <v>12.968309919114516</v>
      </c>
      <c r="V61" s="239">
        <f>V55+V48+V39+V30+V17</f>
        <v>4698</v>
      </c>
      <c r="W61" s="245">
        <f>W17+W30+W39+W48+W55</f>
        <v>0.95575221238938057</v>
      </c>
      <c r="X61" s="399">
        <f>X18+X31+X40+X49+X56</f>
        <v>12.394490896144847</v>
      </c>
    </row>
    <row r="62" spans="3:24" ht="16.5" thickTop="1" thickBot="1" x14ac:dyDescent="0.3">
      <c r="C62" s="262"/>
      <c r="D62" s="553"/>
      <c r="E62" s="812" t="s">
        <v>334</v>
      </c>
      <c r="F62" s="813"/>
      <c r="G62" s="264"/>
      <c r="H62" s="264"/>
      <c r="I62" s="264"/>
      <c r="J62" s="265"/>
      <c r="K62" s="400"/>
      <c r="L62" s="407"/>
      <c r="P62" s="288"/>
      <c r="Q62" s="289"/>
      <c r="R62" s="290"/>
      <c r="S62" s="291"/>
      <c r="T62" s="292"/>
      <c r="U62" s="279"/>
      <c r="V62" s="280"/>
      <c r="W62" s="282"/>
      <c r="X62" s="398"/>
    </row>
    <row r="63" spans="3:24" ht="15.75" thickTop="1" x14ac:dyDescent="0.25">
      <c r="C63" s="269" t="s">
        <v>284</v>
      </c>
      <c r="D63" s="273" t="s">
        <v>283</v>
      </c>
      <c r="E63" s="295" t="s">
        <v>312</v>
      </c>
      <c r="F63" s="296"/>
      <c r="G63" s="286">
        <f>2327.28*1.06</f>
        <v>2466.9168000000004</v>
      </c>
      <c r="H63" s="286">
        <f>G63/I63</f>
        <v>18.903577011494257</v>
      </c>
      <c r="I63" s="297">
        <v>130.5</v>
      </c>
      <c r="J63" s="272"/>
      <c r="K63" s="397"/>
      <c r="L63" s="407"/>
      <c r="P63" s="262"/>
      <c r="Q63" s="263"/>
      <c r="R63" s="826" t="s">
        <v>334</v>
      </c>
      <c r="S63" s="827"/>
      <c r="T63" s="264"/>
      <c r="U63" s="264"/>
      <c r="V63" s="264"/>
      <c r="W63" s="265"/>
      <c r="X63" s="400"/>
    </row>
    <row r="64" spans="3:24" ht="15.75" thickBot="1" x14ac:dyDescent="0.3">
      <c r="C64" s="269" t="s">
        <v>303</v>
      </c>
      <c r="D64" s="273" t="s">
        <v>278</v>
      </c>
      <c r="E64" s="295" t="s">
        <v>315</v>
      </c>
      <c r="F64" s="296"/>
      <c r="G64" s="279">
        <f>1425.52*1.06</f>
        <v>1511.0512000000001</v>
      </c>
      <c r="H64" s="279">
        <f>G64/I64</f>
        <v>17.368404597701151</v>
      </c>
      <c r="I64" s="280">
        <v>87</v>
      </c>
      <c r="J64" s="282"/>
      <c r="K64" s="282"/>
      <c r="L64" s="407"/>
      <c r="P64" s="269" t="s">
        <v>284</v>
      </c>
      <c r="Q64" s="273" t="s">
        <v>283</v>
      </c>
      <c r="R64" s="295" t="s">
        <v>312</v>
      </c>
      <c r="S64" s="296"/>
      <c r="T64" s="286">
        <v>2327.2800000000002</v>
      </c>
      <c r="U64" s="286">
        <f>T64/V64</f>
        <v>17.833563218390807</v>
      </c>
      <c r="V64" s="297">
        <v>130.5</v>
      </c>
      <c r="W64" s="272"/>
      <c r="X64" s="397"/>
    </row>
    <row r="65" spans="3:24" ht="15.75" thickTop="1" x14ac:dyDescent="0.25">
      <c r="C65" s="269"/>
      <c r="D65" s="273"/>
      <c r="E65" s="298"/>
      <c r="F65" s="299"/>
      <c r="G65" s="285">
        <f>SUM(G63:G64)</f>
        <v>3977.9680000000008</v>
      </c>
      <c r="H65" s="285">
        <f>SUM(H63:H64)/2</f>
        <v>18.135990804597704</v>
      </c>
      <c r="I65" s="297">
        <f>SUM(I63:I64)</f>
        <v>217.5</v>
      </c>
      <c r="J65" s="287">
        <f>I65/I73</f>
        <v>4.4247787610619468E-2</v>
      </c>
      <c r="K65" s="318">
        <f>H65*J65</f>
        <v>0.80247746922998686</v>
      </c>
      <c r="L65" s="407"/>
      <c r="P65" s="269" t="s">
        <v>303</v>
      </c>
      <c r="Q65" s="273" t="s">
        <v>278</v>
      </c>
      <c r="R65" s="295" t="s">
        <v>315</v>
      </c>
      <c r="S65" s="296"/>
      <c r="T65" s="286">
        <v>1425.52</v>
      </c>
      <c r="U65" s="286">
        <f>T65/V65</f>
        <v>16.38528735632184</v>
      </c>
      <c r="V65" s="297">
        <v>87</v>
      </c>
      <c r="W65" s="272"/>
      <c r="X65" s="397"/>
    </row>
    <row r="66" spans="3:24" x14ac:dyDescent="0.25">
      <c r="C66" s="269"/>
      <c r="D66" s="273"/>
      <c r="E66" s="794" t="s">
        <v>201</v>
      </c>
      <c r="F66" s="795"/>
      <c r="G66" s="253">
        <v>0.24690000000000001</v>
      </c>
      <c r="H66" s="23">
        <f>H65*G66</f>
        <v>4.4777761296551732</v>
      </c>
      <c r="I66" s="115"/>
      <c r="J66" s="346">
        <f>J65</f>
        <v>4.4247787610619468E-2</v>
      </c>
      <c r="K66" s="401">
        <f>K65/26</f>
        <v>3.0864518047307186E-2</v>
      </c>
      <c r="L66" s="407"/>
      <c r="P66" s="269"/>
      <c r="Q66" s="270"/>
      <c r="R66" s="298"/>
      <c r="S66" s="299"/>
      <c r="T66" s="285">
        <f>SUM(T64:T65)</f>
        <v>3752.8</v>
      </c>
      <c r="U66" s="285">
        <f>SUM(U64:U65)/3</f>
        <v>11.406283524904216</v>
      </c>
      <c r="V66" s="297">
        <f>SUM(V64:V65)</f>
        <v>217.5</v>
      </c>
      <c r="W66" s="287">
        <f>V66/V74</f>
        <v>4.4247787610619468E-2</v>
      </c>
      <c r="X66" s="318">
        <f>U66*W66</f>
        <v>0.50470281083646973</v>
      </c>
    </row>
    <row r="67" spans="3:24" ht="15" customHeight="1" thickBot="1" x14ac:dyDescent="0.3">
      <c r="C67" s="293"/>
      <c r="D67" s="549"/>
      <c r="E67" s="750" t="s">
        <v>155</v>
      </c>
      <c r="F67" s="751"/>
      <c r="G67" s="254">
        <v>3.5000000000000003E-2</v>
      </c>
      <c r="H67" s="177">
        <f>H65*G67</f>
        <v>0.63475967816091972</v>
      </c>
      <c r="I67" s="118"/>
      <c r="J67" s="317"/>
      <c r="K67" s="402"/>
      <c r="L67" s="407"/>
      <c r="P67" s="269"/>
      <c r="Q67" s="270"/>
      <c r="R67" s="797" t="s">
        <v>201</v>
      </c>
      <c r="S67" s="720"/>
      <c r="T67" s="253">
        <v>0.24690000000000001</v>
      </c>
      <c r="U67" s="23">
        <f>U66*T67</f>
        <v>2.8162114022988511</v>
      </c>
      <c r="V67" s="115"/>
      <c r="W67" s="346">
        <f>W66</f>
        <v>4.4247787610619468E-2</v>
      </c>
      <c r="X67" s="401">
        <f>X66/26</f>
        <v>1.9411646570633451E-2</v>
      </c>
    </row>
    <row r="68" spans="3:24" ht="49.5" customHeight="1" thickTop="1" thickBot="1" x14ac:dyDescent="0.3">
      <c r="C68" s="293"/>
      <c r="D68" s="549"/>
      <c r="E68" s="315"/>
      <c r="F68" s="316"/>
      <c r="G68" s="285"/>
      <c r="H68" s="115">
        <f>SUM(H65:H67)</f>
        <v>23.248526612413794</v>
      </c>
      <c r="I68" s="286"/>
      <c r="J68" s="318"/>
      <c r="K68" s="403"/>
      <c r="L68" s="407"/>
      <c r="P68" s="293"/>
      <c r="Q68" s="294"/>
      <c r="R68" s="798" t="s">
        <v>155</v>
      </c>
      <c r="S68" s="689"/>
      <c r="T68" s="254">
        <v>3.5000000000000003E-2</v>
      </c>
      <c r="U68" s="177">
        <f>U66*T68</f>
        <v>0.39921992337164763</v>
      </c>
      <c r="V68" s="118"/>
      <c r="W68" s="317"/>
      <c r="X68" s="402"/>
    </row>
    <row r="69" spans="3:24" ht="15.75" customHeight="1" thickTop="1" thickBot="1" x14ac:dyDescent="0.3">
      <c r="C69" s="293"/>
      <c r="D69" s="549"/>
      <c r="E69" s="319"/>
      <c r="F69" s="320"/>
      <c r="G69" s="285"/>
      <c r="H69" s="285"/>
      <c r="I69" s="286"/>
      <c r="J69" s="318"/>
      <c r="K69" s="403"/>
      <c r="L69" s="407"/>
      <c r="P69" s="293"/>
      <c r="Q69" s="294"/>
      <c r="R69" s="315"/>
      <c r="S69" s="316"/>
      <c r="T69" s="285"/>
      <c r="U69" s="115">
        <f>SUM(U66:U68)</f>
        <v>14.621714850574715</v>
      </c>
      <c r="V69" s="286"/>
      <c r="W69" s="318"/>
      <c r="X69" s="403"/>
    </row>
    <row r="70" spans="3:24" ht="16.5" thickTop="1" thickBot="1" x14ac:dyDescent="0.3">
      <c r="C70" s="308"/>
      <c r="D70" s="554"/>
      <c r="E70" s="814" t="s">
        <v>335</v>
      </c>
      <c r="F70" s="815"/>
      <c r="G70" s="267">
        <f>G65</f>
        <v>3977.9680000000008</v>
      </c>
      <c r="H70" s="264">
        <f>G70/I70</f>
        <v>18.289508045977016</v>
      </c>
      <c r="I70" s="268">
        <f>I65</f>
        <v>217.5</v>
      </c>
      <c r="J70" s="310">
        <f>J65</f>
        <v>4.4247787610619468E-2</v>
      </c>
      <c r="K70" s="404">
        <f>K65</f>
        <v>0.80247746922998686</v>
      </c>
      <c r="L70" s="407"/>
      <c r="P70" s="293"/>
      <c r="Q70" s="294"/>
      <c r="R70" s="319"/>
      <c r="S70" s="320"/>
      <c r="T70" s="285"/>
      <c r="U70" s="285"/>
      <c r="V70" s="286"/>
      <c r="W70" s="318"/>
      <c r="X70" s="403"/>
    </row>
    <row r="71" spans="3:24" ht="15.75" thickTop="1" x14ac:dyDescent="0.25">
      <c r="C71" s="816"/>
      <c r="D71" s="817"/>
      <c r="E71" s="759" t="s">
        <v>337</v>
      </c>
      <c r="F71" s="760"/>
      <c r="G71" s="300">
        <f>G55+G70</f>
        <v>14917.305800000002</v>
      </c>
      <c r="H71" s="301">
        <f>G71/I71</f>
        <v>20.172151183231914</v>
      </c>
      <c r="I71" s="302">
        <f>I54+I70</f>
        <v>739.5</v>
      </c>
      <c r="J71" s="303">
        <f>J54+J65</f>
        <v>0.15044247787610621</v>
      </c>
      <c r="K71" s="317">
        <f>K56+K66</f>
        <v>0.12359277390462928</v>
      </c>
      <c r="L71" s="407"/>
      <c r="P71" s="308"/>
      <c r="Q71" s="309"/>
      <c r="R71" s="822" t="s">
        <v>335</v>
      </c>
      <c r="S71" s="823"/>
      <c r="T71" s="267">
        <f>T66</f>
        <v>3752.8</v>
      </c>
      <c r="U71" s="264">
        <f>T71/V71</f>
        <v>17.254252873563217</v>
      </c>
      <c r="V71" s="268">
        <f>V66</f>
        <v>217.5</v>
      </c>
      <c r="W71" s="310">
        <f>W66</f>
        <v>4.4247787610619468E-2</v>
      </c>
      <c r="X71" s="404">
        <f>X66</f>
        <v>0.50470281083646973</v>
      </c>
    </row>
    <row r="72" spans="3:24" ht="15.75" thickBot="1" x14ac:dyDescent="0.3">
      <c r="C72" s="657"/>
      <c r="D72" s="738"/>
      <c r="E72" s="747"/>
      <c r="F72" s="660"/>
      <c r="G72" s="261"/>
      <c r="H72" s="261"/>
      <c r="I72" s="261"/>
      <c r="J72" s="165"/>
      <c r="K72" s="388"/>
      <c r="L72" s="407"/>
      <c r="P72" s="824"/>
      <c r="Q72" s="825"/>
      <c r="R72" s="759" t="s">
        <v>337</v>
      </c>
      <c r="S72" s="760"/>
      <c r="T72" s="300">
        <f>T56+T71</f>
        <v>10857.79</v>
      </c>
      <c r="U72" s="301">
        <f>T72/V72</f>
        <v>19.200335985853229</v>
      </c>
      <c r="V72" s="302">
        <f>V55+V71</f>
        <v>565.5</v>
      </c>
      <c r="W72" s="303">
        <f>W55+W66</f>
        <v>0.11504424778761062</v>
      </c>
      <c r="X72" s="317">
        <f>X57+X67</f>
        <v>7.9637717163655516E-2</v>
      </c>
    </row>
    <row r="73" spans="3:24" ht="16.5" thickTop="1" thickBot="1" x14ac:dyDescent="0.3">
      <c r="C73" s="705"/>
      <c r="D73" s="737"/>
      <c r="E73" s="555"/>
      <c r="F73" s="556" t="s">
        <v>41</v>
      </c>
      <c r="G73" s="412">
        <f>G70+G60</f>
        <v>69681.092800000013</v>
      </c>
      <c r="H73" s="170">
        <f>G73/I73</f>
        <v>14.175789400874786</v>
      </c>
      <c r="I73" s="233">
        <f>I70+I60</f>
        <v>4915.5</v>
      </c>
      <c r="J73" s="246">
        <f>J60+J70</f>
        <v>0.99999999999999989</v>
      </c>
      <c r="K73" s="405">
        <f>K60+K70+K71</f>
        <v>14.292589376488293</v>
      </c>
      <c r="L73" s="408"/>
      <c r="P73" s="705"/>
      <c r="Q73" s="737"/>
      <c r="R73" s="828"/>
      <c r="S73" s="764"/>
      <c r="T73" s="261"/>
      <c r="U73" s="261"/>
      <c r="V73" s="261"/>
      <c r="W73" s="165"/>
      <c r="X73" s="388"/>
    </row>
    <row r="74" spans="3:24" ht="15.75" thickTop="1" x14ac:dyDescent="0.25">
      <c r="C74" s="705"/>
      <c r="D74" s="737"/>
      <c r="E74" s="555"/>
      <c r="F74" s="556"/>
      <c r="G74" s="169"/>
      <c r="H74" s="170"/>
      <c r="I74" s="171"/>
      <c r="J74" s="159"/>
      <c r="L74" s="407"/>
      <c r="P74" s="733"/>
      <c r="Q74" s="829"/>
      <c r="R74" s="215"/>
      <c r="S74" s="213" t="s">
        <v>41</v>
      </c>
      <c r="T74" s="412">
        <f>T71+T61</f>
        <v>64677.919999999998</v>
      </c>
      <c r="U74" s="170">
        <f>T74/V74</f>
        <v>13.157953412674194</v>
      </c>
      <c r="V74" s="233">
        <f>V71+V61</f>
        <v>4915.5</v>
      </c>
      <c r="W74" s="246">
        <f>W61+W71</f>
        <v>1</v>
      </c>
      <c r="X74" s="405">
        <f>X61+X71</f>
        <v>12.899193706981317</v>
      </c>
    </row>
    <row r="75" spans="3:24" x14ac:dyDescent="0.25">
      <c r="C75" s="657"/>
      <c r="D75" s="738"/>
      <c r="E75" s="794" t="s">
        <v>201</v>
      </c>
      <c r="F75" s="795"/>
      <c r="G75" s="253">
        <v>0.24690000000000001</v>
      </c>
      <c r="H75" s="23"/>
      <c r="I75" s="115">
        <f>K73*G75</f>
        <v>3.5288403170549594</v>
      </c>
      <c r="J75" s="117">
        <f>I75+K73</f>
        <v>17.821429693543251</v>
      </c>
      <c r="L75" s="4"/>
      <c r="P75" s="733"/>
      <c r="Q75" s="829"/>
      <c r="R75" s="215"/>
      <c r="S75" s="213"/>
      <c r="T75" s="169"/>
      <c r="U75" s="170"/>
      <c r="V75" s="171"/>
      <c r="W75" s="159"/>
    </row>
    <row r="76" spans="3:24" ht="15" customHeight="1" x14ac:dyDescent="0.25">
      <c r="C76" s="657"/>
      <c r="D76" s="738"/>
      <c r="E76" s="750" t="s">
        <v>155</v>
      </c>
      <c r="F76" s="751"/>
      <c r="G76" s="254">
        <v>3.5000000000000003E-2</v>
      </c>
      <c r="H76" s="27"/>
      <c r="I76" s="118">
        <f>J75*G76</f>
        <v>0.62375003927401385</v>
      </c>
      <c r="J76" s="119">
        <f>J75+I76</f>
        <v>18.445179732817266</v>
      </c>
      <c r="L76" s="4"/>
      <c r="P76" s="733"/>
      <c r="Q76" s="829"/>
      <c r="R76" s="797" t="s">
        <v>201</v>
      </c>
      <c r="S76" s="720"/>
      <c r="T76" s="253">
        <v>0.24690000000000001</v>
      </c>
      <c r="U76" s="23"/>
      <c r="V76" s="115">
        <f>X74*T76</f>
        <v>3.1848109262536872</v>
      </c>
      <c r="W76" s="117">
        <f>V76+X74</f>
        <v>16.084004633235004</v>
      </c>
    </row>
    <row r="77" spans="3:24" ht="36" customHeight="1" thickBot="1" x14ac:dyDescent="0.3">
      <c r="C77" s="708"/>
      <c r="D77" s="761"/>
      <c r="E77" s="796" t="s">
        <v>254</v>
      </c>
      <c r="F77" s="691"/>
      <c r="G77" s="255">
        <v>0.05</v>
      </c>
      <c r="H77" s="82"/>
      <c r="I77" s="121">
        <f>J75*G77</f>
        <v>0.89107148467716257</v>
      </c>
      <c r="J77" s="122">
        <f>J76+I77</f>
        <v>19.336251217494429</v>
      </c>
      <c r="P77" s="733"/>
      <c r="Q77" s="829"/>
      <c r="R77" s="798" t="s">
        <v>155</v>
      </c>
      <c r="S77" s="689"/>
      <c r="T77" s="254">
        <v>3.5000000000000003E-2</v>
      </c>
      <c r="U77" s="27"/>
      <c r="V77" s="118">
        <f>W76*T77</f>
        <v>0.56294016216322518</v>
      </c>
      <c r="W77" s="119">
        <f>W76+V77</f>
        <v>16.64694479539823</v>
      </c>
    </row>
    <row r="78" spans="3:24" ht="15" customHeight="1" thickBot="1" x14ac:dyDescent="0.3">
      <c r="C78" s="663"/>
      <c r="D78" s="739"/>
      <c r="E78" s="740" t="s">
        <v>206</v>
      </c>
      <c r="F78" s="666"/>
      <c r="G78" s="22"/>
      <c r="H78" s="22"/>
      <c r="I78" s="60"/>
      <c r="J78" s="50">
        <f>J76+I77</f>
        <v>19.336251217494429</v>
      </c>
      <c r="P78" s="716"/>
      <c r="Q78" s="793"/>
      <c r="R78" s="801" t="s">
        <v>254</v>
      </c>
      <c r="S78" s="691"/>
      <c r="T78" s="255">
        <v>0.05</v>
      </c>
      <c r="U78" s="120"/>
      <c r="V78" s="121">
        <f>W76*T78</f>
        <v>0.80420023166175025</v>
      </c>
      <c r="W78" s="122">
        <f>W77+V78</f>
        <v>17.451145027059979</v>
      </c>
    </row>
    <row r="79" spans="3:24" ht="15.75" thickBot="1" x14ac:dyDescent="0.3">
      <c r="P79" s="675"/>
      <c r="Q79" s="802"/>
      <c r="R79" s="803" t="s">
        <v>206</v>
      </c>
      <c r="S79" s="678"/>
      <c r="T79" s="123"/>
      <c r="U79" s="123"/>
      <c r="V79" s="124"/>
      <c r="W79" s="125">
        <f>W77+V78</f>
        <v>17.451145027059979</v>
      </c>
    </row>
    <row r="81" spans="2:9" ht="15.75" thickBot="1" x14ac:dyDescent="0.3"/>
    <row r="82" spans="2:9" ht="34.5" customHeight="1" thickBot="1" x14ac:dyDescent="0.3">
      <c r="B82" s="577" t="s">
        <v>4</v>
      </c>
      <c r="C82" s="579"/>
      <c r="D82" s="679" t="s">
        <v>74</v>
      </c>
      <c r="E82" s="680"/>
      <c r="F82" s="680"/>
      <c r="G82" s="680"/>
      <c r="H82" s="681"/>
      <c r="I82" s="99"/>
    </row>
    <row r="83" spans="2:9" ht="25.5" customHeight="1" thickBot="1" x14ac:dyDescent="0.3">
      <c r="B83" s="682" t="s">
        <v>36</v>
      </c>
      <c r="C83" s="732"/>
      <c r="D83" s="692" t="s">
        <v>37</v>
      </c>
      <c r="E83" s="731"/>
      <c r="F83" s="100" t="s">
        <v>203</v>
      </c>
      <c r="G83" s="100" t="s">
        <v>200</v>
      </c>
      <c r="H83" s="101" t="s">
        <v>41</v>
      </c>
    </row>
    <row r="84" spans="2:9" ht="25.5" customHeight="1" x14ac:dyDescent="0.25">
      <c r="B84" s="684" t="s">
        <v>18</v>
      </c>
      <c r="C84" s="685"/>
      <c r="D84" s="754" t="s">
        <v>331</v>
      </c>
      <c r="E84" s="746"/>
      <c r="F84" s="102"/>
      <c r="G84" s="102"/>
      <c r="H84" s="103"/>
    </row>
    <row r="85" spans="2:9" ht="15.75" thickBot="1" x14ac:dyDescent="0.3">
      <c r="B85" s="104"/>
      <c r="C85" s="105"/>
      <c r="D85" s="755"/>
      <c r="E85" s="756"/>
      <c r="F85" s="111"/>
      <c r="G85" s="112">
        <f>(H16+H29)/2</f>
        <v>12.763458477011493</v>
      </c>
      <c r="H85" s="113"/>
    </row>
    <row r="86" spans="2:9" ht="15" customHeight="1" thickTop="1" x14ac:dyDescent="0.25">
      <c r="B86" s="733"/>
      <c r="C86" s="734"/>
      <c r="D86" s="757" t="s">
        <v>202</v>
      </c>
      <c r="E86" s="756"/>
      <c r="F86" s="114"/>
      <c r="G86" s="106">
        <f>G85</f>
        <v>12.763458477011493</v>
      </c>
      <c r="H86" s="116"/>
    </row>
    <row r="87" spans="2:9" ht="18.75" customHeight="1" x14ac:dyDescent="0.25">
      <c r="B87" s="104"/>
      <c r="C87" s="105"/>
      <c r="D87" s="659" t="s">
        <v>336</v>
      </c>
      <c r="E87" s="756"/>
      <c r="F87" s="211">
        <v>7.66</v>
      </c>
      <c r="G87" s="106">
        <f>K56+K66</f>
        <v>0.12359277390462928</v>
      </c>
      <c r="H87" s="117">
        <f>G86+G87</f>
        <v>12.887051250916123</v>
      </c>
    </row>
    <row r="88" spans="2:9" ht="36" customHeight="1" x14ac:dyDescent="0.25">
      <c r="B88" s="733"/>
      <c r="C88" s="734"/>
      <c r="D88" s="688" t="s">
        <v>155</v>
      </c>
      <c r="E88" s="758"/>
      <c r="F88" s="254">
        <v>3.5000000000000003E-2</v>
      </c>
      <c r="G88" s="108">
        <f>H87*F88</f>
        <v>0.45104679378206436</v>
      </c>
      <c r="H88" s="119">
        <f>H87+G88</f>
        <v>13.338098044698187</v>
      </c>
    </row>
    <row r="89" spans="2:9" ht="28.5" customHeight="1" x14ac:dyDescent="0.25">
      <c r="B89" s="733"/>
      <c r="C89" s="734"/>
      <c r="D89" s="735" t="s">
        <v>535</v>
      </c>
      <c r="E89" s="720"/>
      <c r="F89" s="253">
        <v>0.24640000000000001</v>
      </c>
      <c r="G89" s="106">
        <f>H88*F89</f>
        <v>3.2865073582136333</v>
      </c>
      <c r="H89" s="117">
        <f>G89+H87+G88</f>
        <v>16.624605402911822</v>
      </c>
    </row>
    <row r="90" spans="2:9" x14ac:dyDescent="0.25">
      <c r="B90" s="733"/>
      <c r="C90" s="734"/>
      <c r="D90" s="741" t="s">
        <v>254</v>
      </c>
      <c r="E90" s="742"/>
      <c r="F90" s="510">
        <v>0.05</v>
      </c>
      <c r="G90" s="108">
        <f>H89*F90</f>
        <v>0.83123027014559114</v>
      </c>
      <c r="H90" s="117"/>
    </row>
    <row r="91" spans="2:9" ht="15.75" thickBot="1" x14ac:dyDescent="0.3">
      <c r="B91" s="507"/>
      <c r="C91" s="508"/>
      <c r="D91" s="690" t="s">
        <v>571</v>
      </c>
      <c r="E91" s="691"/>
      <c r="F91" s="255">
        <v>0.15</v>
      </c>
      <c r="G91" s="131">
        <f>F91*H89</f>
        <v>2.4936908104367732</v>
      </c>
      <c r="H91" s="509"/>
    </row>
    <row r="92" spans="2:9" ht="15.75" thickBot="1" x14ac:dyDescent="0.3">
      <c r="B92" s="675"/>
      <c r="C92" s="676"/>
      <c r="D92" s="677" t="s">
        <v>206</v>
      </c>
      <c r="E92" s="678"/>
      <c r="F92" s="123"/>
      <c r="G92" s="132"/>
      <c r="H92" s="125">
        <f>H89+G90+G91</f>
        <v>19.949526483494189</v>
      </c>
    </row>
    <row r="93" spans="2:9" ht="15.75" thickBot="1" x14ac:dyDescent="0.3">
      <c r="B93" s="789"/>
      <c r="C93" s="789"/>
      <c r="D93" s="789"/>
      <c r="E93" s="789"/>
      <c r="F93" s="789"/>
      <c r="G93" s="789"/>
      <c r="H93" s="789"/>
    </row>
    <row r="94" spans="2:9" ht="34.5" customHeight="1" thickBot="1" x14ac:dyDescent="0.3">
      <c r="B94" s="577" t="s">
        <v>4</v>
      </c>
      <c r="C94" s="681"/>
      <c r="D94" s="679" t="s">
        <v>74</v>
      </c>
      <c r="E94" s="680"/>
      <c r="F94" s="680"/>
      <c r="G94" s="680"/>
      <c r="H94" s="681"/>
      <c r="I94" s="99"/>
    </row>
    <row r="95" spans="2:9" ht="25.5" customHeight="1" thickBot="1" x14ac:dyDescent="0.3">
      <c r="B95" s="682" t="s">
        <v>36</v>
      </c>
      <c r="C95" s="732"/>
      <c r="D95" s="692" t="s">
        <v>37</v>
      </c>
      <c r="E95" s="731"/>
      <c r="F95" s="100" t="s">
        <v>203</v>
      </c>
      <c r="G95" s="100" t="s">
        <v>200</v>
      </c>
      <c r="H95" s="101" t="s">
        <v>41</v>
      </c>
    </row>
    <row r="96" spans="2:9" ht="31.5" customHeight="1" x14ac:dyDescent="0.25">
      <c r="B96" s="788" t="s">
        <v>19</v>
      </c>
      <c r="C96" s="685"/>
      <c r="D96" s="754" t="s">
        <v>342</v>
      </c>
      <c r="E96" s="792"/>
      <c r="F96" s="102"/>
      <c r="G96" s="102"/>
      <c r="H96" s="103"/>
    </row>
    <row r="97" spans="2:9" ht="15.75" thickBot="1" x14ac:dyDescent="0.3">
      <c r="B97" s="104"/>
      <c r="C97" s="105"/>
      <c r="D97" s="755"/>
      <c r="E97" s="756"/>
      <c r="F97" s="111"/>
      <c r="G97" s="178">
        <f>H47</f>
        <v>13.857245977011495</v>
      </c>
      <c r="H97" s="113"/>
    </row>
    <row r="98" spans="2:9" ht="15" customHeight="1" thickTop="1" x14ac:dyDescent="0.25">
      <c r="B98" s="733"/>
      <c r="C98" s="734"/>
      <c r="D98" s="757" t="s">
        <v>202</v>
      </c>
      <c r="E98" s="756"/>
      <c r="F98" s="114"/>
      <c r="G98" s="106">
        <f>G97</f>
        <v>13.857245977011495</v>
      </c>
      <c r="H98" s="116"/>
    </row>
    <row r="99" spans="2:9" ht="18.75" customHeight="1" x14ac:dyDescent="0.25">
      <c r="B99" s="104"/>
      <c r="C99" s="105"/>
      <c r="D99" s="659" t="s">
        <v>336</v>
      </c>
      <c r="E99" s="756"/>
      <c r="F99" s="211">
        <v>7.66</v>
      </c>
      <c r="G99" s="106">
        <f>G98*F99/100</f>
        <v>1.0614650418390805</v>
      </c>
      <c r="H99" s="117">
        <f>G98+G99</f>
        <v>14.918711018850574</v>
      </c>
    </row>
    <row r="100" spans="2:9" ht="36" customHeight="1" x14ac:dyDescent="0.25">
      <c r="B100" s="733"/>
      <c r="C100" s="734"/>
      <c r="D100" s="688" t="s">
        <v>155</v>
      </c>
      <c r="E100" s="758"/>
      <c r="F100" s="254">
        <v>3.5000000000000003E-2</v>
      </c>
      <c r="G100" s="108">
        <f>H99*F100</f>
        <v>0.5221548856597702</v>
      </c>
      <c r="H100" s="119">
        <f>H99+G100</f>
        <v>15.440865904510344</v>
      </c>
    </row>
    <row r="101" spans="2:9" ht="30" customHeight="1" x14ac:dyDescent="0.25">
      <c r="B101" s="733"/>
      <c r="C101" s="734"/>
      <c r="D101" s="735" t="s">
        <v>535</v>
      </c>
      <c r="E101" s="720"/>
      <c r="F101" s="253">
        <v>0.24640000000000001</v>
      </c>
      <c r="G101" s="106">
        <f>H100*F101</f>
        <v>3.8046293588713489</v>
      </c>
      <c r="H101" s="117">
        <f>G101+H99+G100</f>
        <v>19.245495263381695</v>
      </c>
    </row>
    <row r="102" spans="2:9" ht="15.75" thickBot="1" x14ac:dyDescent="0.3">
      <c r="B102" s="716"/>
      <c r="C102" s="717"/>
      <c r="D102" s="690" t="s">
        <v>254</v>
      </c>
      <c r="E102" s="787"/>
      <c r="F102" s="255">
        <v>0.05</v>
      </c>
      <c r="G102" s="131">
        <f>H101*F102</f>
        <v>0.96227476316908478</v>
      </c>
      <c r="H102" s="122"/>
    </row>
    <row r="103" spans="2:9" ht="15.75" thickBot="1" x14ac:dyDescent="0.3">
      <c r="B103" s="675"/>
      <c r="C103" s="676"/>
      <c r="D103" s="677" t="s">
        <v>206</v>
      </c>
      <c r="E103" s="678"/>
      <c r="F103" s="123"/>
      <c r="G103" s="132"/>
      <c r="H103" s="125">
        <f>H101+G102</f>
        <v>20.207770026550779</v>
      </c>
    </row>
    <row r="104" spans="2:9" ht="15.75" thickBot="1" x14ac:dyDescent="0.3">
      <c r="B104" s="126"/>
      <c r="C104" s="126"/>
      <c r="D104" s="127"/>
      <c r="E104" s="127"/>
      <c r="F104" s="128"/>
      <c r="G104" s="128"/>
      <c r="H104" s="129"/>
      <c r="I104" s="130"/>
    </row>
    <row r="105" spans="2:9" ht="30" customHeight="1" thickBot="1" x14ac:dyDescent="0.3">
      <c r="B105" s="679" t="s">
        <v>4</v>
      </c>
      <c r="C105" s="681"/>
      <c r="D105" s="679" t="s">
        <v>74</v>
      </c>
      <c r="E105" s="680"/>
      <c r="F105" s="680"/>
      <c r="G105" s="680"/>
      <c r="H105" s="681"/>
      <c r="I105" s="99"/>
    </row>
    <row r="106" spans="2:9" ht="34.5" thickBot="1" x14ac:dyDescent="0.3">
      <c r="B106" s="682" t="s">
        <v>36</v>
      </c>
      <c r="C106" s="732"/>
      <c r="D106" s="692" t="s">
        <v>37</v>
      </c>
      <c r="E106" s="731"/>
      <c r="F106" s="100" t="s">
        <v>203</v>
      </c>
      <c r="G106" s="100" t="s">
        <v>200</v>
      </c>
      <c r="H106" s="101" t="s">
        <v>41</v>
      </c>
    </row>
    <row r="107" spans="2:9" ht="42" customHeight="1" x14ac:dyDescent="0.25">
      <c r="B107" s="788" t="s">
        <v>20</v>
      </c>
      <c r="C107" s="685"/>
      <c r="D107" s="790" t="str">
        <f>CENIK_št_1!B42</f>
        <v>Strokovna dela (nadzor, vodenje, pregledi objektov, izdelava poročil, izvedbeni načrti)</v>
      </c>
      <c r="E107" s="791"/>
      <c r="F107" s="133"/>
      <c r="G107" s="134"/>
      <c r="H107" s="135"/>
    </row>
    <row r="108" spans="2:9" ht="15.75" thickBot="1" x14ac:dyDescent="0.3">
      <c r="B108" s="733"/>
      <c r="C108" s="734"/>
      <c r="D108" s="755"/>
      <c r="E108" s="764"/>
      <c r="F108" s="111"/>
      <c r="G108" s="112">
        <f>H55</f>
        <v>20.956585823754789</v>
      </c>
      <c r="H108" s="113"/>
    </row>
    <row r="109" spans="2:9" ht="15.75" thickTop="1" x14ac:dyDescent="0.25">
      <c r="B109" s="104"/>
      <c r="C109" s="105"/>
      <c r="D109" s="757" t="s">
        <v>202</v>
      </c>
      <c r="E109" s="756"/>
      <c r="F109" s="114"/>
      <c r="G109" s="106">
        <f>G108</f>
        <v>20.956585823754789</v>
      </c>
      <c r="H109" s="116"/>
    </row>
    <row r="110" spans="2:9" x14ac:dyDescent="0.25">
      <c r="B110" s="667"/>
      <c r="C110" s="668"/>
      <c r="D110" s="659" t="s">
        <v>336</v>
      </c>
      <c r="E110" s="756"/>
      <c r="F110" s="211">
        <v>7.66</v>
      </c>
      <c r="G110" s="106">
        <f>K66</f>
        <v>3.0864518047307186E-2</v>
      </c>
      <c r="H110" s="117">
        <f>G109+G110</f>
        <v>20.987450341802095</v>
      </c>
    </row>
    <row r="111" spans="2:9" ht="38.25" customHeight="1" x14ac:dyDescent="0.25">
      <c r="B111" s="667"/>
      <c r="C111" s="668"/>
      <c r="D111" s="765" t="s">
        <v>155</v>
      </c>
      <c r="E111" s="758"/>
      <c r="F111" s="254">
        <v>3.5000000000000003E-2</v>
      </c>
      <c r="G111" s="108">
        <f>H110*F111</f>
        <v>0.73456076196307341</v>
      </c>
      <c r="H111" s="119">
        <f>H110+G111</f>
        <v>21.722011103765169</v>
      </c>
    </row>
    <row r="112" spans="2:9" ht="25.5" customHeight="1" x14ac:dyDescent="0.25">
      <c r="B112" s="136"/>
      <c r="C112" s="137"/>
      <c r="D112" s="735" t="s">
        <v>535</v>
      </c>
      <c r="E112" s="720"/>
      <c r="F112" s="253">
        <v>0.24640000000000001</v>
      </c>
      <c r="G112" s="106">
        <f>H111*F112</f>
        <v>5.3523035359677378</v>
      </c>
      <c r="H112" s="117">
        <f>G112+H110+G111</f>
        <v>27.074314639732908</v>
      </c>
    </row>
    <row r="113" spans="2:9" ht="15.75" thickBot="1" x14ac:dyDescent="0.3">
      <c r="B113" s="733"/>
      <c r="C113" s="734"/>
      <c r="D113" s="690" t="s">
        <v>330</v>
      </c>
      <c r="E113" s="787"/>
      <c r="F113" s="255">
        <v>0.05</v>
      </c>
      <c r="G113" s="131">
        <f>H112*F113</f>
        <v>1.3537157319866455</v>
      </c>
      <c r="H113" s="122"/>
    </row>
    <row r="114" spans="2:9" ht="15.75" thickBot="1" x14ac:dyDescent="0.3">
      <c r="B114" s="675"/>
      <c r="C114" s="676"/>
      <c r="D114" s="677" t="s">
        <v>206</v>
      </c>
      <c r="E114" s="678"/>
      <c r="F114" s="123"/>
      <c r="G114" s="132"/>
      <c r="H114" s="125">
        <f>H112+G113</f>
        <v>28.428030371719554</v>
      </c>
    </row>
    <row r="115" spans="2:9" x14ac:dyDescent="0.25">
      <c r="B115" s="126"/>
      <c r="C115" s="126"/>
      <c r="D115" s="127"/>
      <c r="E115" s="127"/>
      <c r="F115" s="128"/>
      <c r="G115" s="129"/>
      <c r="H115" s="130"/>
      <c r="I115" s="175"/>
    </row>
    <row r="116" spans="2:9" ht="15.75" thickBot="1" x14ac:dyDescent="0.3"/>
    <row r="117" spans="2:9" ht="15.75" thickBot="1" x14ac:dyDescent="0.3">
      <c r="B117" s="577" t="s">
        <v>5</v>
      </c>
      <c r="C117" s="681"/>
      <c r="D117" s="679" t="s">
        <v>74</v>
      </c>
      <c r="E117" s="680"/>
      <c r="F117" s="680"/>
      <c r="G117" s="680"/>
      <c r="H117" s="681"/>
      <c r="I117" s="99"/>
    </row>
    <row r="118" spans="2:9" ht="34.5" thickBot="1" x14ac:dyDescent="0.3">
      <c r="B118" s="682" t="s">
        <v>36</v>
      </c>
      <c r="C118" s="732"/>
      <c r="D118" s="692" t="s">
        <v>37</v>
      </c>
      <c r="E118" s="731"/>
      <c r="F118" s="100" t="s">
        <v>203</v>
      </c>
      <c r="G118" s="100" t="s">
        <v>200</v>
      </c>
      <c r="H118" s="101" t="s">
        <v>41</v>
      </c>
    </row>
    <row r="119" spans="2:9" x14ac:dyDescent="0.25">
      <c r="B119" s="788" t="s">
        <v>123</v>
      </c>
      <c r="C119" s="685"/>
      <c r="D119" s="745" t="s">
        <v>157</v>
      </c>
      <c r="E119" s="746"/>
      <c r="F119" s="133"/>
      <c r="G119" s="134"/>
      <c r="H119" s="135"/>
    </row>
    <row r="120" spans="2:9" ht="15.75" thickBot="1" x14ac:dyDescent="0.3">
      <c r="B120" s="733"/>
      <c r="C120" s="734"/>
      <c r="D120" s="704"/>
      <c r="E120" s="764"/>
      <c r="F120" s="311">
        <v>0.15</v>
      </c>
      <c r="G120" s="112">
        <f>K60</f>
        <v>13.366519133353677</v>
      </c>
      <c r="H120" s="113">
        <f>F120*G120</f>
        <v>2.0049778700030516</v>
      </c>
    </row>
    <row r="121" spans="2:9" ht="16.5" thickTop="1" thickBot="1" x14ac:dyDescent="0.3">
      <c r="B121" s="104"/>
      <c r="C121" s="105"/>
      <c r="D121" s="757" t="s">
        <v>202</v>
      </c>
      <c r="E121" s="756"/>
      <c r="F121" s="23"/>
      <c r="G121" s="106">
        <f>G120</f>
        <v>13.366519133353677</v>
      </c>
      <c r="H121" s="116"/>
    </row>
    <row r="122" spans="2:9" ht="15.75" thickBot="1" x14ac:dyDescent="0.3">
      <c r="B122" s="675"/>
      <c r="C122" s="676"/>
      <c r="D122" s="677" t="s">
        <v>205</v>
      </c>
      <c r="E122" s="678"/>
      <c r="F122" s="123"/>
      <c r="G122" s="132"/>
      <c r="H122" s="125">
        <f>H120</f>
        <v>2.0049778700030516</v>
      </c>
    </row>
    <row r="123" spans="2:9" ht="15.75" thickBot="1" x14ac:dyDescent="0.3">
      <c r="B123" s="138"/>
      <c r="C123" s="138"/>
      <c r="D123" s="138"/>
      <c r="E123" s="138"/>
      <c r="F123" s="138"/>
      <c r="G123" s="138"/>
      <c r="H123" s="138"/>
      <c r="I123" s="138"/>
    </row>
    <row r="124" spans="2:9" ht="16.5" thickTop="1" thickBot="1" x14ac:dyDescent="0.3"/>
    <row r="125" spans="2:9" ht="15.75" thickBot="1" x14ac:dyDescent="0.3">
      <c r="B125" s="139" t="s">
        <v>6</v>
      </c>
      <c r="C125" s="784" t="s">
        <v>3</v>
      </c>
      <c r="D125" s="785"/>
      <c r="E125" s="785"/>
      <c r="F125" s="785"/>
      <c r="G125" s="785"/>
      <c r="H125" s="785"/>
      <c r="I125" s="786"/>
    </row>
    <row r="126" spans="2:9" ht="23.25" thickBot="1" x14ac:dyDescent="0.3">
      <c r="B126" s="682" t="s">
        <v>36</v>
      </c>
      <c r="C126" s="683"/>
      <c r="D126" s="692" t="s">
        <v>37</v>
      </c>
      <c r="E126" s="693"/>
      <c r="F126" s="140" t="s">
        <v>38</v>
      </c>
      <c r="G126" s="100" t="s">
        <v>39</v>
      </c>
      <c r="H126" s="100" t="s">
        <v>40</v>
      </c>
      <c r="I126" s="101" t="s">
        <v>41</v>
      </c>
    </row>
    <row r="127" spans="2:9" x14ac:dyDescent="0.25">
      <c r="B127" s="788" t="s">
        <v>26</v>
      </c>
      <c r="C127" s="685"/>
      <c r="D127" s="694" t="s">
        <v>12</v>
      </c>
      <c r="E127" s="695"/>
      <c r="F127" s="141">
        <v>18000</v>
      </c>
      <c r="G127" s="142"/>
      <c r="H127" s="142"/>
      <c r="I127" s="143"/>
    </row>
    <row r="128" spans="2:9" ht="15" customHeight="1" x14ac:dyDescent="0.25">
      <c r="B128" s="104"/>
      <c r="C128" s="105"/>
      <c r="D128" s="696" t="s">
        <v>209</v>
      </c>
      <c r="E128" s="697"/>
      <c r="F128" s="144">
        <v>96</v>
      </c>
      <c r="G128" s="145"/>
      <c r="H128" s="145"/>
      <c r="I128" s="146"/>
    </row>
    <row r="129" spans="2:9" x14ac:dyDescent="0.25">
      <c r="B129" s="104"/>
      <c r="C129" s="105"/>
      <c r="D129" s="696" t="s">
        <v>208</v>
      </c>
      <c r="E129" s="697"/>
      <c r="F129" s="144">
        <v>100</v>
      </c>
      <c r="G129" s="145"/>
      <c r="H129" s="145"/>
      <c r="I129" s="146"/>
    </row>
    <row r="130" spans="2:9" x14ac:dyDescent="0.25">
      <c r="B130" s="667"/>
      <c r="C130" s="668"/>
      <c r="D130" s="686" t="s">
        <v>204</v>
      </c>
      <c r="E130" s="687"/>
      <c r="F130" s="147"/>
      <c r="G130" s="114"/>
      <c r="H130" s="106">
        <f>H42</f>
        <v>17.676717614689657</v>
      </c>
      <c r="I130" s="107">
        <f>F129*H130</f>
        <v>1767.6717614689658</v>
      </c>
    </row>
    <row r="131" spans="2:9" ht="25.5" customHeight="1" x14ac:dyDescent="0.25">
      <c r="B131" s="667"/>
      <c r="C131" s="668"/>
      <c r="D131" s="698" t="s">
        <v>166</v>
      </c>
      <c r="E131" s="699"/>
      <c r="F131" s="148"/>
      <c r="G131" s="114"/>
      <c r="H131" s="106">
        <f>1500/12/F129</f>
        <v>1.25</v>
      </c>
      <c r="I131" s="107">
        <f>F129*H131</f>
        <v>125</v>
      </c>
    </row>
    <row r="132" spans="2:9" ht="16.5" customHeight="1" x14ac:dyDescent="0.25">
      <c r="B132" s="667"/>
      <c r="C132" s="668"/>
      <c r="D132" s="701" t="s">
        <v>374</v>
      </c>
      <c r="E132" s="699"/>
      <c r="F132" s="148"/>
      <c r="G132" s="114">
        <f>35/100*8</f>
        <v>2.8</v>
      </c>
      <c r="H132" s="106">
        <v>1.8</v>
      </c>
      <c r="I132" s="116">
        <f>F129*G132*H132</f>
        <v>504</v>
      </c>
    </row>
    <row r="133" spans="2:9" ht="15.75" thickBot="1" x14ac:dyDescent="0.3">
      <c r="B133" s="667"/>
      <c r="C133" s="668"/>
      <c r="D133" s="686" t="s">
        <v>164</v>
      </c>
      <c r="E133" s="687"/>
      <c r="F133" s="149"/>
      <c r="G133" s="114"/>
      <c r="H133" s="114"/>
      <c r="I133" s="113">
        <f>F127/F128</f>
        <v>187.5</v>
      </c>
    </row>
    <row r="134" spans="2:9" ht="15.75" thickTop="1" x14ac:dyDescent="0.25">
      <c r="B134" s="667"/>
      <c r="C134" s="668"/>
      <c r="D134" s="669" t="s">
        <v>158</v>
      </c>
      <c r="E134" s="670"/>
      <c r="F134" s="148"/>
      <c r="G134" s="114"/>
      <c r="H134" s="114"/>
      <c r="I134" s="150">
        <f>SUM(I130:I133)</f>
        <v>2584.171761468966</v>
      </c>
    </row>
    <row r="135" spans="2:9" ht="15.75" thickBot="1" x14ac:dyDescent="0.3">
      <c r="B135" s="671"/>
      <c r="C135" s="672"/>
      <c r="D135" s="673" t="s">
        <v>207</v>
      </c>
      <c r="E135" s="674"/>
      <c r="F135" s="151"/>
      <c r="G135" s="152"/>
      <c r="H135" s="153"/>
      <c r="I135" s="109">
        <f>(I134/F129)*0.05</f>
        <v>1.292085880734483</v>
      </c>
    </row>
    <row r="136" spans="2:9" ht="24.75" customHeight="1" thickBot="1" x14ac:dyDescent="0.3">
      <c r="B136" s="675"/>
      <c r="C136" s="676"/>
      <c r="D136" s="677" t="s">
        <v>40</v>
      </c>
      <c r="E136" s="678"/>
      <c r="F136" s="154"/>
      <c r="G136" s="48" t="s">
        <v>383</v>
      </c>
      <c r="H136" s="155"/>
      <c r="I136" s="125">
        <f>(I134/F129)+I135</f>
        <v>27.133803495424143</v>
      </c>
    </row>
    <row r="137" spans="2:9" ht="15.75" thickBot="1" x14ac:dyDescent="0.3">
      <c r="B137" s="338"/>
      <c r="C137" s="338"/>
      <c r="D137" s="665" t="s">
        <v>384</v>
      </c>
      <c r="E137" s="678"/>
      <c r="F137" s="339"/>
      <c r="G137" s="361">
        <v>40</v>
      </c>
      <c r="H137" s="340"/>
      <c r="I137" s="125">
        <f>I136/G137</f>
        <v>0.67834508738560362</v>
      </c>
    </row>
    <row r="138" spans="2:9" ht="15.75" thickBot="1" x14ac:dyDescent="0.3">
      <c r="B138" s="126"/>
      <c r="C138" s="126"/>
      <c r="D138" s="127"/>
      <c r="E138" s="127"/>
      <c r="F138" s="156"/>
      <c r="G138" s="128"/>
      <c r="H138" s="128"/>
      <c r="I138" s="130"/>
    </row>
    <row r="139" spans="2:9" ht="15.75" thickBot="1" x14ac:dyDescent="0.3">
      <c r="B139" s="139" t="s">
        <v>6</v>
      </c>
      <c r="C139" s="679" t="s">
        <v>3</v>
      </c>
      <c r="D139" s="680"/>
      <c r="E139" s="680"/>
      <c r="F139" s="680"/>
      <c r="G139" s="680"/>
      <c r="H139" s="680"/>
      <c r="I139" s="681"/>
    </row>
    <row r="140" spans="2:9" ht="23.25" thickBot="1" x14ac:dyDescent="0.3">
      <c r="B140" s="682" t="s">
        <v>36</v>
      </c>
      <c r="C140" s="732"/>
      <c r="D140" s="692" t="s">
        <v>37</v>
      </c>
      <c r="E140" s="731"/>
      <c r="F140" s="140" t="s">
        <v>38</v>
      </c>
      <c r="G140" s="100" t="s">
        <v>39</v>
      </c>
      <c r="H140" s="100" t="s">
        <v>40</v>
      </c>
      <c r="I140" s="101" t="s">
        <v>41</v>
      </c>
    </row>
    <row r="141" spans="2:9" ht="20.25" customHeight="1" x14ac:dyDescent="0.25">
      <c r="B141" s="788" t="s">
        <v>27</v>
      </c>
      <c r="C141" s="685"/>
      <c r="D141" s="694" t="str">
        <f>CENIK_št_1!B62</f>
        <v>Pregledniško vozilo s preglednikom</v>
      </c>
      <c r="E141" s="695"/>
      <c r="F141" s="141">
        <v>35000</v>
      </c>
      <c r="G141" s="142"/>
      <c r="H141" s="142"/>
      <c r="I141" s="143"/>
    </row>
    <row r="142" spans="2:9" ht="15" customHeight="1" x14ac:dyDescent="0.25">
      <c r="B142" s="104"/>
      <c r="C142" s="105"/>
      <c r="D142" s="696" t="s">
        <v>209</v>
      </c>
      <c r="E142" s="720"/>
      <c r="F142" s="144">
        <v>96</v>
      </c>
      <c r="G142" s="145"/>
      <c r="H142" s="145"/>
      <c r="I142" s="146"/>
    </row>
    <row r="143" spans="2:9" x14ac:dyDescent="0.25">
      <c r="B143" s="104"/>
      <c r="C143" s="105"/>
      <c r="D143" s="696" t="s">
        <v>208</v>
      </c>
      <c r="E143" s="720"/>
      <c r="F143" s="144">
        <v>100</v>
      </c>
      <c r="G143" s="145"/>
      <c r="H143" s="145"/>
      <c r="I143" s="146"/>
    </row>
    <row r="144" spans="2:9" x14ac:dyDescent="0.25">
      <c r="B144" s="733"/>
      <c r="C144" s="734"/>
      <c r="D144" s="755" t="s">
        <v>204</v>
      </c>
      <c r="E144" s="764"/>
      <c r="F144" s="147"/>
      <c r="G144" s="114"/>
      <c r="H144" s="106">
        <f>G108</f>
        <v>20.956585823754789</v>
      </c>
      <c r="I144" s="107">
        <f>F143*H144</f>
        <v>2095.658582375479</v>
      </c>
    </row>
    <row r="145" spans="2:9" ht="24.75" customHeight="1" x14ac:dyDescent="0.25">
      <c r="B145" s="733"/>
      <c r="C145" s="734"/>
      <c r="D145" s="765" t="s">
        <v>166</v>
      </c>
      <c r="E145" s="758"/>
      <c r="F145" s="148"/>
      <c r="G145" s="114"/>
      <c r="H145" s="106">
        <v>2.92</v>
      </c>
      <c r="I145" s="107">
        <f>F143*H145</f>
        <v>292</v>
      </c>
    </row>
    <row r="146" spans="2:9" ht="24.75" customHeight="1" x14ac:dyDescent="0.25">
      <c r="B146" s="733"/>
      <c r="C146" s="734"/>
      <c r="D146" s="688" t="s">
        <v>374</v>
      </c>
      <c r="E146" s="758"/>
      <c r="F146" s="148"/>
      <c r="G146" s="114">
        <f>35/100*12</f>
        <v>4.1999999999999993</v>
      </c>
      <c r="H146" s="106">
        <v>1.1890000000000001</v>
      </c>
      <c r="I146" s="116">
        <f>F143*G146*H146</f>
        <v>499.37999999999994</v>
      </c>
    </row>
    <row r="147" spans="2:9" ht="15.75" thickBot="1" x14ac:dyDescent="0.3">
      <c r="B147" s="733"/>
      <c r="C147" s="734"/>
      <c r="D147" s="755" t="s">
        <v>164</v>
      </c>
      <c r="E147" s="764"/>
      <c r="F147" s="149"/>
      <c r="G147" s="114"/>
      <c r="H147" s="114"/>
      <c r="I147" s="113">
        <f>F141/F142</f>
        <v>364.58333333333331</v>
      </c>
    </row>
    <row r="148" spans="2:9" ht="15.75" thickTop="1" x14ac:dyDescent="0.25">
      <c r="B148" s="733"/>
      <c r="C148" s="734"/>
      <c r="D148" s="757" t="s">
        <v>158</v>
      </c>
      <c r="E148" s="756"/>
      <c r="F148" s="148"/>
      <c r="G148" s="114"/>
      <c r="H148" s="114"/>
      <c r="I148" s="150">
        <f>SUM(I144:I147)</f>
        <v>3251.6219157088126</v>
      </c>
    </row>
    <row r="149" spans="2:9" ht="15.75" thickBot="1" x14ac:dyDescent="0.3">
      <c r="B149" s="716"/>
      <c r="C149" s="717"/>
      <c r="D149" s="718" t="s">
        <v>207</v>
      </c>
      <c r="E149" s="719"/>
      <c r="F149" s="151"/>
      <c r="G149" s="152"/>
      <c r="H149" s="153"/>
      <c r="I149" s="109">
        <f>(I148/F143)*0.05</f>
        <v>1.6258109578544062</v>
      </c>
    </row>
    <row r="150" spans="2:9" ht="23.25" thickBot="1" x14ac:dyDescent="0.3">
      <c r="B150" s="675"/>
      <c r="C150" s="676"/>
      <c r="D150" s="677" t="s">
        <v>40</v>
      </c>
      <c r="E150" s="678"/>
      <c r="F150" s="154"/>
      <c r="G150" s="48" t="s">
        <v>383</v>
      </c>
      <c r="H150" s="155"/>
      <c r="I150" s="125">
        <f>(I148/F143)+I149</f>
        <v>34.142030114942528</v>
      </c>
    </row>
    <row r="151" spans="2:9" ht="15.75" thickBot="1" x14ac:dyDescent="0.3">
      <c r="B151" s="338"/>
      <c r="C151" s="338"/>
      <c r="D151" s="665" t="s">
        <v>384</v>
      </c>
      <c r="E151" s="678"/>
      <c r="F151" s="339"/>
      <c r="G151" s="361">
        <v>40</v>
      </c>
      <c r="H151" s="340"/>
      <c r="I151" s="125">
        <f>I150/G151</f>
        <v>0.85355075287356319</v>
      </c>
    </row>
    <row r="152" spans="2:9" ht="15.75" thickBot="1" x14ac:dyDescent="0.3"/>
    <row r="153" spans="2:9" ht="15.75" thickBot="1" x14ac:dyDescent="0.3">
      <c r="B153" s="139" t="s">
        <v>6</v>
      </c>
      <c r="C153" s="679" t="s">
        <v>3</v>
      </c>
      <c r="D153" s="680"/>
      <c r="E153" s="680"/>
      <c r="F153" s="680"/>
      <c r="G153" s="680"/>
      <c r="H153" s="680"/>
      <c r="I153" s="681"/>
    </row>
    <row r="154" spans="2:9" ht="23.25" thickBot="1" x14ac:dyDescent="0.3">
      <c r="B154" s="682" t="s">
        <v>36</v>
      </c>
      <c r="C154" s="683"/>
      <c r="D154" s="692" t="s">
        <v>37</v>
      </c>
      <c r="E154" s="693"/>
      <c r="F154" s="140" t="s">
        <v>38</v>
      </c>
      <c r="G154" s="100" t="s">
        <v>39</v>
      </c>
      <c r="H154" s="100" t="s">
        <v>40</v>
      </c>
      <c r="I154" s="101" t="s">
        <v>41</v>
      </c>
    </row>
    <row r="155" spans="2:9" x14ac:dyDescent="0.25">
      <c r="B155" s="788" t="s">
        <v>28</v>
      </c>
      <c r="C155" s="685"/>
      <c r="D155" s="694" t="str">
        <f>CENIK_št_1!B63</f>
        <v>Tovorno vozilo do 3,5 t sdm</v>
      </c>
      <c r="E155" s="695"/>
      <c r="F155" s="141">
        <v>35000</v>
      </c>
      <c r="G155" s="142"/>
      <c r="H155" s="142"/>
      <c r="I155" s="143"/>
    </row>
    <row r="156" spans="2:9" ht="15" customHeight="1" x14ac:dyDescent="0.25">
      <c r="B156" s="104"/>
      <c r="C156" s="105"/>
      <c r="D156" s="696" t="s">
        <v>209</v>
      </c>
      <c r="E156" s="697"/>
      <c r="F156" s="144">
        <v>96</v>
      </c>
      <c r="G156" s="145"/>
      <c r="H156" s="145"/>
      <c r="I156" s="146"/>
    </row>
    <row r="157" spans="2:9" x14ac:dyDescent="0.25">
      <c r="B157" s="104"/>
      <c r="C157" s="105"/>
      <c r="D157" s="696" t="s">
        <v>208</v>
      </c>
      <c r="E157" s="697"/>
      <c r="F157" s="144">
        <v>100</v>
      </c>
      <c r="G157" s="145"/>
      <c r="H157" s="145"/>
      <c r="I157" s="146"/>
    </row>
    <row r="158" spans="2:9" x14ac:dyDescent="0.25">
      <c r="B158" s="667"/>
      <c r="C158" s="668"/>
      <c r="D158" s="686" t="s">
        <v>204</v>
      </c>
      <c r="E158" s="687"/>
      <c r="F158" s="147"/>
      <c r="G158" s="114"/>
      <c r="H158" s="106">
        <f>H42</f>
        <v>17.676717614689657</v>
      </c>
      <c r="I158" s="107">
        <f>F157*H158</f>
        <v>1767.6717614689658</v>
      </c>
    </row>
    <row r="159" spans="2:9" ht="36" customHeight="1" x14ac:dyDescent="0.25">
      <c r="B159" s="667"/>
      <c r="C159" s="668"/>
      <c r="D159" s="698" t="s">
        <v>166</v>
      </c>
      <c r="E159" s="699"/>
      <c r="F159" s="148"/>
      <c r="G159" s="114"/>
      <c r="H159" s="106">
        <f>3500/12/F157</f>
        <v>2.916666666666667</v>
      </c>
      <c r="I159" s="107">
        <f>F157*H159</f>
        <v>291.66666666666669</v>
      </c>
    </row>
    <row r="160" spans="2:9" ht="24.75" customHeight="1" x14ac:dyDescent="0.25">
      <c r="B160" s="667"/>
      <c r="C160" s="668"/>
      <c r="D160" s="701" t="s">
        <v>374</v>
      </c>
      <c r="E160" s="699"/>
      <c r="F160" s="148"/>
      <c r="G160" s="114">
        <f>35/100*12</f>
        <v>4.1999999999999993</v>
      </c>
      <c r="H160" s="106">
        <v>1.8</v>
      </c>
      <c r="I160" s="116">
        <f>F157*G160*H160</f>
        <v>755.99999999999989</v>
      </c>
    </row>
    <row r="161" spans="2:9" ht="15.75" thickBot="1" x14ac:dyDescent="0.3">
      <c r="B161" s="667"/>
      <c r="C161" s="668"/>
      <c r="D161" s="686" t="s">
        <v>164</v>
      </c>
      <c r="E161" s="687"/>
      <c r="F161" s="149"/>
      <c r="G161" s="114"/>
      <c r="H161" s="114"/>
      <c r="I161" s="113">
        <f>F155/F156</f>
        <v>364.58333333333331</v>
      </c>
    </row>
    <row r="162" spans="2:9" ht="15.75" thickTop="1" x14ac:dyDescent="0.25">
      <c r="B162" s="667"/>
      <c r="C162" s="668"/>
      <c r="D162" s="669" t="s">
        <v>158</v>
      </c>
      <c r="E162" s="670"/>
      <c r="F162" s="148"/>
      <c r="G162" s="114"/>
      <c r="H162" s="114"/>
      <c r="I162" s="150">
        <f>SUM(I158:I161)</f>
        <v>3179.921761468966</v>
      </c>
    </row>
    <row r="163" spans="2:9" ht="15.75" thickBot="1" x14ac:dyDescent="0.3">
      <c r="B163" s="671"/>
      <c r="C163" s="672"/>
      <c r="D163" s="673" t="s">
        <v>207</v>
      </c>
      <c r="E163" s="674"/>
      <c r="F163" s="151"/>
      <c r="G163" s="152"/>
      <c r="H163" s="153"/>
      <c r="I163" s="109">
        <f>(I162/F157)*0.05</f>
        <v>1.5899608807344832</v>
      </c>
    </row>
    <row r="164" spans="2:9" ht="23.25" thickBot="1" x14ac:dyDescent="0.3">
      <c r="B164" s="675"/>
      <c r="C164" s="676"/>
      <c r="D164" s="677" t="s">
        <v>40</v>
      </c>
      <c r="E164" s="678"/>
      <c r="F164" s="154"/>
      <c r="G164" s="48" t="s">
        <v>383</v>
      </c>
      <c r="H164" s="155"/>
      <c r="I164" s="125">
        <f>(I162/F157)+I163</f>
        <v>33.38917849542414</v>
      </c>
    </row>
    <row r="165" spans="2:9" ht="15.75" thickBot="1" x14ac:dyDescent="0.3">
      <c r="B165" s="338"/>
      <c r="C165" s="338"/>
      <c r="D165" s="665" t="s">
        <v>384</v>
      </c>
      <c r="E165" s="678"/>
      <c r="F165" s="339"/>
      <c r="G165" s="361">
        <v>40</v>
      </c>
      <c r="H165" s="340"/>
      <c r="I165" s="125">
        <f>I164/G165</f>
        <v>0.83472946238560353</v>
      </c>
    </row>
    <row r="166" spans="2:9" ht="15.75" thickBot="1" x14ac:dyDescent="0.3">
      <c r="B166" s="126"/>
      <c r="C166" s="126"/>
      <c r="D166" s="127"/>
      <c r="E166" s="127"/>
      <c r="F166" s="156"/>
      <c r="G166" s="128"/>
      <c r="H166" s="128"/>
      <c r="I166" s="130"/>
    </row>
    <row r="167" spans="2:9" ht="15.75" thickBot="1" x14ac:dyDescent="0.3">
      <c r="B167" s="139" t="s">
        <v>6</v>
      </c>
      <c r="C167" s="679" t="s">
        <v>3</v>
      </c>
      <c r="D167" s="680"/>
      <c r="E167" s="680"/>
      <c r="F167" s="680"/>
      <c r="G167" s="680"/>
      <c r="H167" s="680"/>
      <c r="I167" s="681"/>
    </row>
    <row r="168" spans="2:9" ht="23.25" thickBot="1" x14ac:dyDescent="0.3">
      <c r="B168" s="682" t="s">
        <v>36</v>
      </c>
      <c r="C168" s="683"/>
      <c r="D168" s="692" t="s">
        <v>37</v>
      </c>
      <c r="E168" s="693"/>
      <c r="F168" s="140" t="s">
        <v>38</v>
      </c>
      <c r="G168" s="100" t="s">
        <v>39</v>
      </c>
      <c r="H168" s="100" t="s">
        <v>40</v>
      </c>
      <c r="I168" s="101" t="s">
        <v>41</v>
      </c>
    </row>
    <row r="169" spans="2:9" x14ac:dyDescent="0.25">
      <c r="B169" s="684" t="s">
        <v>29</v>
      </c>
      <c r="C169" s="685"/>
      <c r="D169" s="694" t="str">
        <f>CENIK_št_1!B64</f>
        <v>Tovorno vozilo do 15 t sdm</v>
      </c>
      <c r="E169" s="695"/>
      <c r="F169" s="141">
        <v>125000</v>
      </c>
      <c r="G169" s="142"/>
      <c r="H169" s="142"/>
      <c r="I169" s="143"/>
    </row>
    <row r="170" spans="2:9" ht="15" customHeight="1" x14ac:dyDescent="0.25">
      <c r="B170" s="104"/>
      <c r="C170" s="105"/>
      <c r="D170" s="696" t="s">
        <v>209</v>
      </c>
      <c r="E170" s="697"/>
      <c r="F170" s="144">
        <v>96</v>
      </c>
      <c r="G170" s="145"/>
      <c r="H170" s="145"/>
      <c r="I170" s="146"/>
    </row>
    <row r="171" spans="2:9" x14ac:dyDescent="0.25">
      <c r="B171" s="104"/>
      <c r="C171" s="105"/>
      <c r="D171" s="696" t="s">
        <v>208</v>
      </c>
      <c r="E171" s="697"/>
      <c r="F171" s="144">
        <v>125</v>
      </c>
      <c r="G171" s="145"/>
      <c r="H171" s="145"/>
      <c r="I171" s="146"/>
    </row>
    <row r="172" spans="2:9" x14ac:dyDescent="0.25">
      <c r="B172" s="667"/>
      <c r="C172" s="668"/>
      <c r="D172" s="686" t="s">
        <v>204</v>
      </c>
      <c r="E172" s="687"/>
      <c r="F172" s="147"/>
      <c r="G172" s="114"/>
      <c r="H172" s="106">
        <f>H158</f>
        <v>17.676717614689657</v>
      </c>
      <c r="I172" s="107">
        <f>F171*H172</f>
        <v>2209.589701836207</v>
      </c>
    </row>
    <row r="173" spans="2:9" ht="22.5" customHeight="1" x14ac:dyDescent="0.25">
      <c r="B173" s="667"/>
      <c r="C173" s="668"/>
      <c r="D173" s="698" t="s">
        <v>166</v>
      </c>
      <c r="E173" s="699"/>
      <c r="F173" s="148"/>
      <c r="G173" s="114"/>
      <c r="H173" s="106">
        <f>5000/12/F171</f>
        <v>3.3333333333333335</v>
      </c>
      <c r="I173" s="107">
        <f>F171*H173</f>
        <v>416.66666666666669</v>
      </c>
    </row>
    <row r="174" spans="2:9" ht="24.75" customHeight="1" x14ac:dyDescent="0.25">
      <c r="B174" s="667"/>
      <c r="C174" s="668"/>
      <c r="D174" s="701" t="s">
        <v>374</v>
      </c>
      <c r="E174" s="699"/>
      <c r="F174" s="148"/>
      <c r="G174" s="114">
        <f>35/100*30</f>
        <v>10.5</v>
      </c>
      <c r="H174" s="106">
        <v>1.1890000000000001</v>
      </c>
      <c r="I174" s="116">
        <f>F171*G174*H174</f>
        <v>1560.5625</v>
      </c>
    </row>
    <row r="175" spans="2:9" ht="15.75" thickBot="1" x14ac:dyDescent="0.3">
      <c r="B175" s="667"/>
      <c r="C175" s="668"/>
      <c r="D175" s="686" t="s">
        <v>164</v>
      </c>
      <c r="E175" s="687"/>
      <c r="F175" s="149"/>
      <c r="G175" s="114"/>
      <c r="H175" s="114"/>
      <c r="I175" s="113">
        <f>F169/F170</f>
        <v>1302.0833333333333</v>
      </c>
    </row>
    <row r="176" spans="2:9" ht="15.75" thickTop="1" x14ac:dyDescent="0.25">
      <c r="B176" s="667"/>
      <c r="C176" s="668"/>
      <c r="D176" s="669" t="s">
        <v>158</v>
      </c>
      <c r="E176" s="670"/>
      <c r="F176" s="148"/>
      <c r="G176" s="114"/>
      <c r="H176" s="114"/>
      <c r="I176" s="150">
        <f>SUM(I172:I175)</f>
        <v>5488.9022018362066</v>
      </c>
    </row>
    <row r="177" spans="2:9" ht="15.75" thickBot="1" x14ac:dyDescent="0.3">
      <c r="B177" s="671"/>
      <c r="C177" s="672"/>
      <c r="D177" s="673" t="s">
        <v>207</v>
      </c>
      <c r="E177" s="674"/>
      <c r="F177" s="151"/>
      <c r="G177" s="152"/>
      <c r="H177" s="153"/>
      <c r="I177" s="109">
        <f>(I176/F171)*0.05</f>
        <v>2.1955608807344826</v>
      </c>
    </row>
    <row r="178" spans="2:9" ht="23.25" thickBot="1" x14ac:dyDescent="0.3">
      <c r="B178" s="675"/>
      <c r="C178" s="676"/>
      <c r="D178" s="677" t="s">
        <v>40</v>
      </c>
      <c r="E178" s="678"/>
      <c r="F178" s="154"/>
      <c r="G178" s="48" t="s">
        <v>383</v>
      </c>
      <c r="H178" s="155"/>
      <c r="I178" s="125">
        <f>(I176/F171)+I177</f>
        <v>46.106778495424138</v>
      </c>
    </row>
    <row r="179" spans="2:9" ht="15.75" thickBot="1" x14ac:dyDescent="0.3">
      <c r="B179" s="338"/>
      <c r="C179" s="338"/>
      <c r="D179" s="665" t="s">
        <v>384</v>
      </c>
      <c r="E179" s="678"/>
      <c r="F179" s="339"/>
      <c r="G179" s="361">
        <v>30</v>
      </c>
      <c r="H179" s="340"/>
      <c r="I179" s="125">
        <f>I178/G179</f>
        <v>1.5368926165141379</v>
      </c>
    </row>
    <row r="180" spans="2:9" ht="15.75" thickBot="1" x14ac:dyDescent="0.3">
      <c r="B180" s="126"/>
      <c r="C180" s="126"/>
      <c r="D180" s="184"/>
      <c r="E180" s="127"/>
      <c r="F180" s="156"/>
      <c r="G180" s="422"/>
      <c r="H180" s="128"/>
      <c r="I180" s="130"/>
    </row>
    <row r="181" spans="2:9" ht="15.75" thickBot="1" x14ac:dyDescent="0.3">
      <c r="B181" s="139" t="s">
        <v>6</v>
      </c>
      <c r="C181" s="679" t="s">
        <v>3</v>
      </c>
      <c r="D181" s="680"/>
      <c r="E181" s="680"/>
      <c r="F181" s="680"/>
      <c r="G181" s="680"/>
      <c r="H181" s="680"/>
      <c r="I181" s="681"/>
    </row>
    <row r="182" spans="2:9" ht="23.25" thickBot="1" x14ac:dyDescent="0.3">
      <c r="B182" s="682" t="s">
        <v>36</v>
      </c>
      <c r="C182" s="683"/>
      <c r="D182" s="692" t="s">
        <v>37</v>
      </c>
      <c r="E182" s="693"/>
      <c r="F182" s="140" t="s">
        <v>38</v>
      </c>
      <c r="G182" s="100" t="s">
        <v>39</v>
      </c>
      <c r="H182" s="100" t="s">
        <v>40</v>
      </c>
      <c r="I182" s="101" t="s">
        <v>41</v>
      </c>
    </row>
    <row r="183" spans="2:9" ht="15" customHeight="1" x14ac:dyDescent="0.25">
      <c r="B183" s="684" t="s">
        <v>30</v>
      </c>
      <c r="C183" s="685"/>
      <c r="D183" s="694" t="str">
        <f>CENIK_št_1!B65</f>
        <v>Tovorno vozilo do 24 t sdm</v>
      </c>
      <c r="E183" s="695"/>
      <c r="F183" s="141">
        <v>140000</v>
      </c>
      <c r="G183" s="142"/>
      <c r="H183" s="142"/>
      <c r="I183" s="143"/>
    </row>
    <row r="184" spans="2:9" x14ac:dyDescent="0.25">
      <c r="B184" s="104"/>
      <c r="C184" s="105"/>
      <c r="D184" s="696" t="s">
        <v>209</v>
      </c>
      <c r="E184" s="697"/>
      <c r="F184" s="144">
        <v>96</v>
      </c>
      <c r="G184" s="145"/>
      <c r="H184" s="145"/>
      <c r="I184" s="146"/>
    </row>
    <row r="185" spans="2:9" x14ac:dyDescent="0.25">
      <c r="B185" s="104"/>
      <c r="C185" s="105"/>
      <c r="D185" s="696" t="s">
        <v>208</v>
      </c>
      <c r="E185" s="697"/>
      <c r="F185" s="144">
        <v>125</v>
      </c>
      <c r="G185" s="145"/>
      <c r="H185" s="145"/>
      <c r="I185" s="146"/>
    </row>
    <row r="186" spans="2:9" x14ac:dyDescent="0.25">
      <c r="B186" s="667"/>
      <c r="C186" s="668"/>
      <c r="D186" s="686" t="s">
        <v>204</v>
      </c>
      <c r="E186" s="687"/>
      <c r="F186" s="147"/>
      <c r="G186" s="114"/>
      <c r="H186" s="24">
        <f>H172</f>
        <v>17.676717614689657</v>
      </c>
      <c r="I186" s="107">
        <f>F185*H186</f>
        <v>2209.589701836207</v>
      </c>
    </row>
    <row r="187" spans="2:9" x14ac:dyDescent="0.25">
      <c r="B187" s="667"/>
      <c r="C187" s="668"/>
      <c r="D187" s="698" t="s">
        <v>166</v>
      </c>
      <c r="E187" s="699"/>
      <c r="F187" s="148"/>
      <c r="G187" s="114"/>
      <c r="H187" s="106">
        <f>5000/12/F185</f>
        <v>3.3333333333333335</v>
      </c>
      <c r="I187" s="107">
        <f>F185*H187</f>
        <v>416.66666666666669</v>
      </c>
    </row>
    <row r="188" spans="2:9" x14ac:dyDescent="0.25">
      <c r="B188" s="667"/>
      <c r="C188" s="668"/>
      <c r="D188" s="701" t="s">
        <v>374</v>
      </c>
      <c r="E188" s="699"/>
      <c r="F188" s="148"/>
      <c r="G188" s="114">
        <v>12.25</v>
      </c>
      <c r="H188" s="106">
        <v>1.1890000000000001</v>
      </c>
      <c r="I188" s="116">
        <f>F185*G188*H188</f>
        <v>1820.65625</v>
      </c>
    </row>
    <row r="189" spans="2:9" ht="15.75" thickBot="1" x14ac:dyDescent="0.3">
      <c r="B189" s="667"/>
      <c r="C189" s="668"/>
      <c r="D189" s="686" t="s">
        <v>164</v>
      </c>
      <c r="E189" s="687"/>
      <c r="F189" s="149"/>
      <c r="G189" s="114"/>
      <c r="H189" s="114"/>
      <c r="I189" s="113">
        <f>F183/F184</f>
        <v>1458.3333333333333</v>
      </c>
    </row>
    <row r="190" spans="2:9" ht="15.75" thickTop="1" x14ac:dyDescent="0.25">
      <c r="B190" s="667"/>
      <c r="C190" s="668"/>
      <c r="D190" s="669" t="s">
        <v>158</v>
      </c>
      <c r="E190" s="670"/>
      <c r="F190" s="148"/>
      <c r="G190" s="114"/>
      <c r="H190" s="114"/>
      <c r="I190" s="150">
        <f>SUM(I186:I189)</f>
        <v>5905.2459518362066</v>
      </c>
    </row>
    <row r="191" spans="2:9" ht="15.75" thickBot="1" x14ac:dyDescent="0.3">
      <c r="B191" s="671"/>
      <c r="C191" s="672"/>
      <c r="D191" s="673" t="s">
        <v>207</v>
      </c>
      <c r="E191" s="674"/>
      <c r="F191" s="151"/>
      <c r="G191" s="152"/>
      <c r="H191" s="153"/>
      <c r="I191" s="109">
        <f>(I190/F185)*0.05</f>
        <v>2.3620983807344826</v>
      </c>
    </row>
    <row r="192" spans="2:9" ht="23.25" thickBot="1" x14ac:dyDescent="0.3">
      <c r="B192" s="675"/>
      <c r="C192" s="676"/>
      <c r="D192" s="677" t="s">
        <v>40</v>
      </c>
      <c r="E192" s="678"/>
      <c r="F192" s="154"/>
      <c r="G192" s="48" t="s">
        <v>383</v>
      </c>
      <c r="H192" s="155"/>
      <c r="I192" s="125">
        <f>(I190/F185)+I191</f>
        <v>49.604065995424129</v>
      </c>
    </row>
    <row r="193" spans="2:9" ht="15.75" thickBot="1" x14ac:dyDescent="0.3">
      <c r="B193" s="338"/>
      <c r="C193" s="338"/>
      <c r="D193" s="665" t="s">
        <v>384</v>
      </c>
      <c r="E193" s="678"/>
      <c r="F193" s="339"/>
      <c r="G193" s="361">
        <v>30</v>
      </c>
      <c r="H193" s="340"/>
      <c r="I193" s="125">
        <f>I192/G193</f>
        <v>1.6534688665141377</v>
      </c>
    </row>
    <row r="194" spans="2:9" x14ac:dyDescent="0.25">
      <c r="B194" s="126"/>
      <c r="C194" s="126"/>
      <c r="D194" s="184"/>
      <c r="E194" s="127"/>
      <c r="F194" s="156"/>
      <c r="G194" s="422"/>
      <c r="H194" s="128"/>
      <c r="I194" s="130"/>
    </row>
    <row r="195" spans="2:9" ht="15.75" thickBot="1" x14ac:dyDescent="0.3">
      <c r="B195" s="126"/>
      <c r="C195" s="126"/>
      <c r="D195" s="127"/>
      <c r="E195" s="127"/>
      <c r="F195" s="156"/>
      <c r="G195" s="128"/>
      <c r="H195" s="128"/>
      <c r="I195" s="130"/>
    </row>
    <row r="196" spans="2:9" ht="15.75" thickBot="1" x14ac:dyDescent="0.3">
      <c r="B196" s="139" t="s">
        <v>6</v>
      </c>
      <c r="C196" s="679" t="s">
        <v>3</v>
      </c>
      <c r="D196" s="680"/>
      <c r="E196" s="680"/>
      <c r="F196" s="680"/>
      <c r="G196" s="680"/>
      <c r="H196" s="680"/>
      <c r="I196" s="681"/>
    </row>
    <row r="197" spans="2:9" ht="23.25" thickBot="1" x14ac:dyDescent="0.3">
      <c r="B197" s="682" t="s">
        <v>36</v>
      </c>
      <c r="C197" s="683"/>
      <c r="D197" s="692" t="s">
        <v>37</v>
      </c>
      <c r="E197" s="693"/>
      <c r="F197" s="140" t="s">
        <v>38</v>
      </c>
      <c r="G197" s="100" t="s">
        <v>39</v>
      </c>
      <c r="H197" s="100" t="s">
        <v>40</v>
      </c>
      <c r="I197" s="101" t="s">
        <v>41</v>
      </c>
    </row>
    <row r="198" spans="2:9" ht="27" customHeight="1" x14ac:dyDescent="0.25">
      <c r="B198" s="684" t="s">
        <v>31</v>
      </c>
      <c r="C198" s="685"/>
      <c r="D198" s="694" t="str">
        <f>CENIK_št_1!B66</f>
        <v>Tovorno vozilo do 15 t sdm z avtodvigalom</v>
      </c>
      <c r="E198" s="695"/>
      <c r="F198" s="141">
        <v>155000</v>
      </c>
      <c r="G198" s="142"/>
      <c r="H198" s="142"/>
      <c r="I198" s="143"/>
    </row>
    <row r="199" spans="2:9" ht="15" customHeight="1" x14ac:dyDescent="0.25">
      <c r="B199" s="104"/>
      <c r="C199" s="105"/>
      <c r="D199" s="696" t="s">
        <v>209</v>
      </c>
      <c r="E199" s="697"/>
      <c r="F199" s="144">
        <v>96</v>
      </c>
      <c r="G199" s="145"/>
      <c r="H199" s="145"/>
      <c r="I199" s="146"/>
    </row>
    <row r="200" spans="2:9" x14ac:dyDescent="0.25">
      <c r="B200" s="104"/>
      <c r="C200" s="105"/>
      <c r="D200" s="696" t="s">
        <v>208</v>
      </c>
      <c r="E200" s="697"/>
      <c r="F200" s="144">
        <v>100</v>
      </c>
      <c r="G200" s="145"/>
      <c r="H200" s="145"/>
      <c r="I200" s="146"/>
    </row>
    <row r="201" spans="2:9" x14ac:dyDescent="0.25">
      <c r="B201" s="667"/>
      <c r="C201" s="668"/>
      <c r="D201" s="686" t="s">
        <v>204</v>
      </c>
      <c r="E201" s="687"/>
      <c r="F201" s="147"/>
      <c r="G201" s="114"/>
      <c r="H201" s="106">
        <f>H186</f>
        <v>17.676717614689657</v>
      </c>
      <c r="I201" s="107">
        <f>F200*H201</f>
        <v>1767.6717614689658</v>
      </c>
    </row>
    <row r="202" spans="2:9" ht="25.5" customHeight="1" x14ac:dyDescent="0.25">
      <c r="B202" s="667"/>
      <c r="C202" s="668"/>
      <c r="D202" s="698" t="s">
        <v>211</v>
      </c>
      <c r="E202" s="699"/>
      <c r="F202" s="148"/>
      <c r="G202" s="114"/>
      <c r="H202" s="106">
        <v>4</v>
      </c>
      <c r="I202" s="107">
        <f>F200*H202</f>
        <v>400</v>
      </c>
    </row>
    <row r="203" spans="2:9" ht="15.75" customHeight="1" x14ac:dyDescent="0.25">
      <c r="B203" s="667"/>
      <c r="C203" s="668"/>
      <c r="D203" s="701" t="s">
        <v>374</v>
      </c>
      <c r="E203" s="699"/>
      <c r="F203" s="148"/>
      <c r="G203" s="114">
        <v>11.5</v>
      </c>
      <c r="H203" s="106">
        <v>1.56</v>
      </c>
      <c r="I203" s="116">
        <f>F200*G203*H203</f>
        <v>1794</v>
      </c>
    </row>
    <row r="204" spans="2:9" ht="15.75" thickBot="1" x14ac:dyDescent="0.3">
      <c r="B204" s="667"/>
      <c r="C204" s="668"/>
      <c r="D204" s="686" t="s">
        <v>164</v>
      </c>
      <c r="E204" s="687"/>
      <c r="F204" s="149"/>
      <c r="G204" s="114"/>
      <c r="H204" s="114"/>
      <c r="I204" s="113">
        <f>F198/F199</f>
        <v>1614.5833333333333</v>
      </c>
    </row>
    <row r="205" spans="2:9" ht="15.75" thickTop="1" x14ac:dyDescent="0.25">
      <c r="B205" s="667"/>
      <c r="C205" s="668"/>
      <c r="D205" s="669" t="s">
        <v>158</v>
      </c>
      <c r="E205" s="670"/>
      <c r="F205" s="148"/>
      <c r="G205" s="114"/>
      <c r="H205" s="114"/>
      <c r="I205" s="150">
        <f>SUM(I201:I204)</f>
        <v>5576.255094802299</v>
      </c>
    </row>
    <row r="206" spans="2:9" ht="15.75" thickBot="1" x14ac:dyDescent="0.3">
      <c r="B206" s="671"/>
      <c r="C206" s="672"/>
      <c r="D206" s="673" t="s">
        <v>207</v>
      </c>
      <c r="E206" s="674"/>
      <c r="F206" s="151"/>
      <c r="G206" s="152"/>
      <c r="H206" s="153"/>
      <c r="I206" s="109">
        <f>(I205/F200)*0.05</f>
        <v>2.7881275474011495</v>
      </c>
    </row>
    <row r="207" spans="2:9" ht="15.75" thickBot="1" x14ac:dyDescent="0.3">
      <c r="B207" s="675"/>
      <c r="C207" s="676"/>
      <c r="D207" s="677" t="s">
        <v>40</v>
      </c>
      <c r="E207" s="678"/>
      <c r="F207" s="154"/>
      <c r="G207" s="123"/>
      <c r="H207" s="155"/>
      <c r="I207" s="125">
        <f>(I205/F200)+I206</f>
        <v>58.550678495424137</v>
      </c>
    </row>
    <row r="208" spans="2:9" ht="15.75" thickBot="1" x14ac:dyDescent="0.3">
      <c r="B208" s="126"/>
      <c r="C208" s="126"/>
      <c r="D208" s="127"/>
      <c r="E208" s="127"/>
      <c r="F208" s="156"/>
      <c r="G208" s="128"/>
      <c r="H208" s="128"/>
      <c r="I208" s="130"/>
    </row>
    <row r="209" spans="2:9" ht="15.75" thickBot="1" x14ac:dyDescent="0.3">
      <c r="B209" s="139" t="s">
        <v>6</v>
      </c>
      <c r="C209" s="679" t="s">
        <v>3</v>
      </c>
      <c r="D209" s="680"/>
      <c r="E209" s="680"/>
      <c r="F209" s="680"/>
      <c r="G209" s="680"/>
      <c r="H209" s="680"/>
      <c r="I209" s="681"/>
    </row>
    <row r="210" spans="2:9" ht="23.25" thickBot="1" x14ac:dyDescent="0.3">
      <c r="B210" s="682" t="s">
        <v>36</v>
      </c>
      <c r="C210" s="683"/>
      <c r="D210" s="692" t="s">
        <v>37</v>
      </c>
      <c r="E210" s="693"/>
      <c r="F210" s="140" t="s">
        <v>38</v>
      </c>
      <c r="G210" s="100" t="s">
        <v>39</v>
      </c>
      <c r="H210" s="100" t="s">
        <v>40</v>
      </c>
      <c r="I210" s="101" t="s">
        <v>41</v>
      </c>
    </row>
    <row r="211" spans="2:9" ht="25.5" customHeight="1" x14ac:dyDescent="0.25">
      <c r="B211" s="684" t="s">
        <v>32</v>
      </c>
      <c r="C211" s="685"/>
      <c r="D211" s="694" t="str">
        <f>CENIK_št_1!B67</f>
        <v>Tovorno vozilo od 15 - 24 t sdm z avtodvigalom</v>
      </c>
      <c r="E211" s="695"/>
      <c r="F211" s="141">
        <v>160000</v>
      </c>
      <c r="G211" s="142"/>
      <c r="H211" s="142"/>
      <c r="I211" s="143"/>
    </row>
    <row r="212" spans="2:9" ht="15" customHeight="1" x14ac:dyDescent="0.25">
      <c r="B212" s="104"/>
      <c r="C212" s="105"/>
      <c r="D212" s="696" t="s">
        <v>209</v>
      </c>
      <c r="E212" s="697"/>
      <c r="F212" s="144">
        <v>96</v>
      </c>
      <c r="G212" s="145"/>
      <c r="H212" s="145"/>
      <c r="I212" s="146"/>
    </row>
    <row r="213" spans="2:9" x14ac:dyDescent="0.25">
      <c r="B213" s="104"/>
      <c r="C213" s="105"/>
      <c r="D213" s="696" t="s">
        <v>208</v>
      </c>
      <c r="E213" s="697"/>
      <c r="F213" s="144">
        <v>100</v>
      </c>
      <c r="G213" s="145"/>
      <c r="H213" s="145"/>
      <c r="I213" s="146"/>
    </row>
    <row r="214" spans="2:9" x14ac:dyDescent="0.25">
      <c r="B214" s="667"/>
      <c r="C214" s="668"/>
      <c r="D214" s="686" t="s">
        <v>204</v>
      </c>
      <c r="E214" s="687"/>
      <c r="F214" s="147"/>
      <c r="G214" s="114"/>
      <c r="H214" s="106">
        <f>H201</f>
        <v>17.676717614689657</v>
      </c>
      <c r="I214" s="107">
        <f>F213*H214</f>
        <v>1767.6717614689658</v>
      </c>
    </row>
    <row r="215" spans="2:9" ht="24.75" customHeight="1" x14ac:dyDescent="0.25">
      <c r="B215" s="667"/>
      <c r="C215" s="668"/>
      <c r="D215" s="698" t="s">
        <v>211</v>
      </c>
      <c r="E215" s="699"/>
      <c r="F215" s="148"/>
      <c r="G215" s="114"/>
      <c r="H215" s="106">
        <f>6000/12/F213</f>
        <v>5</v>
      </c>
      <c r="I215" s="107">
        <f>F213*H215</f>
        <v>500</v>
      </c>
    </row>
    <row r="216" spans="2:9" ht="15.75" customHeight="1" x14ac:dyDescent="0.25">
      <c r="B216" s="667"/>
      <c r="C216" s="668"/>
      <c r="D216" s="701" t="s">
        <v>374</v>
      </c>
      <c r="E216" s="699"/>
      <c r="F216" s="148"/>
      <c r="G216" s="114">
        <f>35/100*35</f>
        <v>12.25</v>
      </c>
      <c r="H216" s="106">
        <v>1.56</v>
      </c>
      <c r="I216" s="116">
        <f>F213*G216*H216</f>
        <v>1911</v>
      </c>
    </row>
    <row r="217" spans="2:9" ht="15.75" thickBot="1" x14ac:dyDescent="0.3">
      <c r="B217" s="667"/>
      <c r="C217" s="668"/>
      <c r="D217" s="686" t="s">
        <v>164</v>
      </c>
      <c r="E217" s="687"/>
      <c r="F217" s="149"/>
      <c r="G217" s="114"/>
      <c r="H217" s="114"/>
      <c r="I217" s="113">
        <f>F211/F212</f>
        <v>1666.6666666666667</v>
      </c>
    </row>
    <row r="218" spans="2:9" ht="15.75" thickTop="1" x14ac:dyDescent="0.25">
      <c r="B218" s="667"/>
      <c r="C218" s="668"/>
      <c r="D218" s="669" t="s">
        <v>158</v>
      </c>
      <c r="E218" s="670"/>
      <c r="F218" s="148"/>
      <c r="G218" s="114"/>
      <c r="H218" s="114"/>
      <c r="I218" s="150">
        <f>SUM(I214:I217)</f>
        <v>5845.338428135633</v>
      </c>
    </row>
    <row r="219" spans="2:9" ht="15.75" thickBot="1" x14ac:dyDescent="0.3">
      <c r="B219" s="671"/>
      <c r="C219" s="672"/>
      <c r="D219" s="673" t="s">
        <v>207</v>
      </c>
      <c r="E219" s="674"/>
      <c r="F219" s="151"/>
      <c r="G219" s="152"/>
      <c r="H219" s="153"/>
      <c r="I219" s="109">
        <f>(I218/F213)*0.05</f>
        <v>2.9226692140678168</v>
      </c>
    </row>
    <row r="220" spans="2:9" ht="15.75" thickBot="1" x14ac:dyDescent="0.3">
      <c r="B220" s="675"/>
      <c r="C220" s="676"/>
      <c r="D220" s="677" t="s">
        <v>40</v>
      </c>
      <c r="E220" s="678"/>
      <c r="F220" s="154"/>
      <c r="G220" s="123"/>
      <c r="H220" s="155"/>
      <c r="I220" s="125">
        <f>(I218/F213)+I219</f>
        <v>61.376053495424145</v>
      </c>
    </row>
    <row r="221" spans="2:9" ht="15.75" thickBot="1" x14ac:dyDescent="0.3">
      <c r="B221" s="126"/>
      <c r="C221" s="126"/>
      <c r="D221" s="127"/>
      <c r="E221" s="127"/>
      <c r="F221" s="156"/>
      <c r="G221" s="128"/>
      <c r="H221" s="128"/>
      <c r="I221" s="130"/>
    </row>
    <row r="222" spans="2:9" ht="15.75" thickBot="1" x14ac:dyDescent="0.3">
      <c r="B222" s="139" t="s">
        <v>6</v>
      </c>
      <c r="C222" s="679" t="s">
        <v>3</v>
      </c>
      <c r="D222" s="680"/>
      <c r="E222" s="680"/>
      <c r="F222" s="680"/>
      <c r="G222" s="680"/>
      <c r="H222" s="680"/>
      <c r="I222" s="681"/>
    </row>
    <row r="223" spans="2:9" ht="23.25" thickBot="1" x14ac:dyDescent="0.3">
      <c r="B223" s="682" t="s">
        <v>36</v>
      </c>
      <c r="C223" s="683"/>
      <c r="D223" s="692" t="s">
        <v>37</v>
      </c>
      <c r="E223" s="693"/>
      <c r="F223" s="140" t="s">
        <v>38</v>
      </c>
      <c r="G223" s="100" t="s">
        <v>39</v>
      </c>
      <c r="H223" s="100" t="s">
        <v>40</v>
      </c>
      <c r="I223" s="101" t="s">
        <v>41</v>
      </c>
    </row>
    <row r="224" spans="2:9" ht="28.5" customHeight="1" x14ac:dyDescent="0.25">
      <c r="B224" s="684" t="s">
        <v>34</v>
      </c>
      <c r="C224" s="685"/>
      <c r="D224" s="694" t="str">
        <f>CENIK_št_1!B68</f>
        <v>Tovorno vozilo do 24 t sdm s smetarsko nadgradnjo</v>
      </c>
      <c r="E224" s="695"/>
      <c r="F224" s="141">
        <v>230000</v>
      </c>
      <c r="G224" s="142"/>
      <c r="H224" s="142"/>
      <c r="I224" s="143"/>
    </row>
    <row r="225" spans="2:9" ht="15" customHeight="1" x14ac:dyDescent="0.25">
      <c r="B225" s="104"/>
      <c r="C225" s="105"/>
      <c r="D225" s="696" t="s">
        <v>209</v>
      </c>
      <c r="E225" s="697"/>
      <c r="F225" s="144">
        <v>96</v>
      </c>
      <c r="G225" s="145"/>
      <c r="H225" s="145"/>
      <c r="I225" s="146"/>
    </row>
    <row r="226" spans="2:9" x14ac:dyDescent="0.25">
      <c r="B226" s="104"/>
      <c r="C226" s="105"/>
      <c r="D226" s="696" t="s">
        <v>208</v>
      </c>
      <c r="E226" s="697"/>
      <c r="F226" s="144">
        <v>100</v>
      </c>
      <c r="G226" s="145"/>
      <c r="H226" s="145"/>
      <c r="I226" s="146"/>
    </row>
    <row r="227" spans="2:9" x14ac:dyDescent="0.25">
      <c r="B227" s="667"/>
      <c r="C227" s="668"/>
      <c r="D227" s="686" t="s">
        <v>204</v>
      </c>
      <c r="E227" s="687"/>
      <c r="F227" s="147"/>
      <c r="G227" s="114"/>
      <c r="H227" s="106">
        <f>H214</f>
        <v>17.676717614689657</v>
      </c>
      <c r="I227" s="107">
        <f>F226*H227</f>
        <v>1767.6717614689658</v>
      </c>
    </row>
    <row r="228" spans="2:9" ht="24" customHeight="1" x14ac:dyDescent="0.25">
      <c r="B228" s="667"/>
      <c r="C228" s="668"/>
      <c r="D228" s="698" t="s">
        <v>211</v>
      </c>
      <c r="E228" s="699"/>
      <c r="F228" s="148"/>
      <c r="G228" s="114"/>
      <c r="H228" s="106">
        <v>7.6</v>
      </c>
      <c r="I228" s="107">
        <f>F226*H228</f>
        <v>760</v>
      </c>
    </row>
    <row r="229" spans="2:9" ht="24.75" customHeight="1" x14ac:dyDescent="0.25">
      <c r="B229" s="667"/>
      <c r="C229" s="668"/>
      <c r="D229" s="698" t="s">
        <v>210</v>
      </c>
      <c r="E229" s="699"/>
      <c r="F229" s="148"/>
      <c r="G229" s="114">
        <v>12.25</v>
      </c>
      <c r="H229" s="106">
        <v>1.56</v>
      </c>
      <c r="I229" s="116">
        <f>F226*G229*H229</f>
        <v>1911</v>
      </c>
    </row>
    <row r="230" spans="2:9" ht="15.75" thickBot="1" x14ac:dyDescent="0.3">
      <c r="B230" s="667"/>
      <c r="C230" s="668"/>
      <c r="D230" s="686" t="s">
        <v>164</v>
      </c>
      <c r="E230" s="687"/>
      <c r="F230" s="149"/>
      <c r="G230" s="114"/>
      <c r="H230" s="114"/>
      <c r="I230" s="113">
        <f>F224/F225</f>
        <v>2395.8333333333335</v>
      </c>
    </row>
    <row r="231" spans="2:9" ht="15.75" thickTop="1" x14ac:dyDescent="0.25">
      <c r="B231" s="667"/>
      <c r="C231" s="668"/>
      <c r="D231" s="669" t="s">
        <v>158</v>
      </c>
      <c r="E231" s="670"/>
      <c r="F231" s="148"/>
      <c r="G231" s="114"/>
      <c r="H231" s="114"/>
      <c r="I231" s="150">
        <f>SUM(I227:I230)</f>
        <v>6834.5050948022999</v>
      </c>
    </row>
    <row r="232" spans="2:9" ht="15.75" thickBot="1" x14ac:dyDescent="0.3">
      <c r="B232" s="671"/>
      <c r="C232" s="672"/>
      <c r="D232" s="673" t="s">
        <v>207</v>
      </c>
      <c r="E232" s="674"/>
      <c r="F232" s="151"/>
      <c r="G232" s="152"/>
      <c r="H232" s="153"/>
      <c r="I232" s="109">
        <f>(I231/F226)*0.05</f>
        <v>3.4172525474011501</v>
      </c>
    </row>
    <row r="233" spans="2:9" ht="15.75" thickBot="1" x14ac:dyDescent="0.3">
      <c r="B233" s="675"/>
      <c r="C233" s="676"/>
      <c r="D233" s="677" t="s">
        <v>40</v>
      </c>
      <c r="E233" s="678"/>
      <c r="F233" s="154"/>
      <c r="G233" s="123"/>
      <c r="H233" s="155"/>
      <c r="I233" s="125">
        <f>(I231/F226)+I232</f>
        <v>71.762303495424149</v>
      </c>
    </row>
    <row r="235" spans="2:9" ht="15.75" thickBot="1" x14ac:dyDescent="0.3">
      <c r="B235" s="126"/>
      <c r="C235" s="126"/>
      <c r="D235" s="127"/>
      <c r="E235" s="127"/>
      <c r="F235" s="156"/>
      <c r="G235" s="128"/>
      <c r="H235" s="128"/>
      <c r="I235" s="130"/>
    </row>
    <row r="236" spans="2:9" ht="15.75" thickBot="1" x14ac:dyDescent="0.3">
      <c r="B236" s="139" t="s">
        <v>6</v>
      </c>
      <c r="C236" s="679" t="s">
        <v>3</v>
      </c>
      <c r="D236" s="680"/>
      <c r="E236" s="680"/>
      <c r="F236" s="680"/>
      <c r="G236" s="680"/>
      <c r="H236" s="680"/>
      <c r="I236" s="681"/>
    </row>
    <row r="237" spans="2:9" ht="23.25" thickBot="1" x14ac:dyDescent="0.3">
      <c r="B237" s="682" t="s">
        <v>36</v>
      </c>
      <c r="C237" s="683"/>
      <c r="D237" s="692" t="s">
        <v>37</v>
      </c>
      <c r="E237" s="693"/>
      <c r="F237" s="140" t="s">
        <v>38</v>
      </c>
      <c r="G237" s="100" t="s">
        <v>39</v>
      </c>
      <c r="H237" s="100" t="s">
        <v>40</v>
      </c>
      <c r="I237" s="101" t="s">
        <v>41</v>
      </c>
    </row>
    <row r="238" spans="2:9" ht="25.5" customHeight="1" x14ac:dyDescent="0.25">
      <c r="B238" s="684" t="s">
        <v>35</v>
      </c>
      <c r="C238" s="685"/>
      <c r="D238" s="694" t="str">
        <f>CENIK_št_1!B69</f>
        <v>Tovorno vozilo s samonakladalno nadgradnjo</v>
      </c>
      <c r="E238" s="695"/>
      <c r="F238" s="141">
        <v>107000</v>
      </c>
      <c r="G238" s="142"/>
      <c r="H238" s="142"/>
      <c r="I238" s="143"/>
    </row>
    <row r="239" spans="2:9" ht="15" customHeight="1" x14ac:dyDescent="0.25">
      <c r="B239" s="104"/>
      <c r="C239" s="105"/>
      <c r="D239" s="696" t="s">
        <v>209</v>
      </c>
      <c r="E239" s="697"/>
      <c r="F239" s="144">
        <v>96</v>
      </c>
      <c r="G239" s="145"/>
      <c r="H239" s="145"/>
      <c r="I239" s="146"/>
    </row>
    <row r="240" spans="2:9" x14ac:dyDescent="0.25">
      <c r="B240" s="104"/>
      <c r="C240" s="105"/>
      <c r="D240" s="696" t="s">
        <v>208</v>
      </c>
      <c r="E240" s="697"/>
      <c r="F240" s="144">
        <v>90</v>
      </c>
      <c r="G240" s="145"/>
      <c r="H240" s="145"/>
      <c r="I240" s="146"/>
    </row>
    <row r="241" spans="2:9" x14ac:dyDescent="0.25">
      <c r="B241" s="667"/>
      <c r="C241" s="668"/>
      <c r="D241" s="686" t="s">
        <v>204</v>
      </c>
      <c r="E241" s="687"/>
      <c r="F241" s="147"/>
      <c r="G241" s="114"/>
      <c r="H241" s="106">
        <f>H227</f>
        <v>17.676717614689657</v>
      </c>
      <c r="I241" s="107">
        <f>F240*H241</f>
        <v>1590.9045853220691</v>
      </c>
    </row>
    <row r="242" spans="2:9" ht="23.25" customHeight="1" x14ac:dyDescent="0.25">
      <c r="B242" s="667"/>
      <c r="C242" s="668"/>
      <c r="D242" s="698" t="s">
        <v>211</v>
      </c>
      <c r="E242" s="699"/>
      <c r="F242" s="148"/>
      <c r="G242" s="114"/>
      <c r="H242" s="106">
        <f>5500/12/F240</f>
        <v>5.0925925925925926</v>
      </c>
      <c r="I242" s="107">
        <f>F240*H242</f>
        <v>458.33333333333331</v>
      </c>
    </row>
    <row r="243" spans="2:9" ht="24.75" customHeight="1" x14ac:dyDescent="0.25">
      <c r="B243" s="667"/>
      <c r="C243" s="668"/>
      <c r="D243" s="701" t="s">
        <v>375</v>
      </c>
      <c r="E243" s="699"/>
      <c r="F243" s="148"/>
      <c r="G243" s="114">
        <f>35/100*30</f>
        <v>10.5</v>
      </c>
      <c r="H243" s="106">
        <v>1.56</v>
      </c>
      <c r="I243" s="116">
        <f>F240*G243*H243</f>
        <v>1474.2</v>
      </c>
    </row>
    <row r="244" spans="2:9" ht="15.75" thickBot="1" x14ac:dyDescent="0.3">
      <c r="B244" s="667"/>
      <c r="C244" s="668"/>
      <c r="D244" s="686" t="s">
        <v>164</v>
      </c>
      <c r="E244" s="687"/>
      <c r="F244" s="149"/>
      <c r="G244" s="114"/>
      <c r="H244" s="114"/>
      <c r="I244" s="113">
        <f>F238/F239</f>
        <v>1114.5833333333333</v>
      </c>
    </row>
    <row r="245" spans="2:9" ht="15.75" thickTop="1" x14ac:dyDescent="0.25">
      <c r="B245" s="667"/>
      <c r="C245" s="668"/>
      <c r="D245" s="669" t="s">
        <v>158</v>
      </c>
      <c r="E245" s="670"/>
      <c r="F245" s="148"/>
      <c r="G245" s="114"/>
      <c r="H245" s="114"/>
      <c r="I245" s="150">
        <f>SUM(I241:I244)</f>
        <v>4638.0212519887355</v>
      </c>
    </row>
    <row r="246" spans="2:9" ht="15.75" thickBot="1" x14ac:dyDescent="0.3">
      <c r="B246" s="671"/>
      <c r="C246" s="672"/>
      <c r="D246" s="673" t="s">
        <v>207</v>
      </c>
      <c r="E246" s="674"/>
      <c r="F246" s="151"/>
      <c r="G246" s="152"/>
      <c r="H246" s="153"/>
      <c r="I246" s="109">
        <f>(I245/F240)*0.05</f>
        <v>2.5766784733270756</v>
      </c>
    </row>
    <row r="247" spans="2:9" ht="15.75" thickBot="1" x14ac:dyDescent="0.3">
      <c r="B247" s="675"/>
      <c r="C247" s="676"/>
      <c r="D247" s="677" t="s">
        <v>40</v>
      </c>
      <c r="E247" s="678"/>
      <c r="F247" s="154"/>
      <c r="G247" s="123"/>
      <c r="H247" s="155"/>
      <c r="I247" s="125">
        <f>(I245/F240)+I246</f>
        <v>54.110247939868586</v>
      </c>
    </row>
    <row r="248" spans="2:9" ht="15.75" thickBot="1" x14ac:dyDescent="0.3">
      <c r="B248" s="126"/>
      <c r="C248" s="126"/>
      <c r="D248" s="127"/>
      <c r="E248" s="127"/>
      <c r="F248" s="156"/>
      <c r="G248" s="128"/>
      <c r="H248" s="128"/>
      <c r="I248" s="130"/>
    </row>
    <row r="249" spans="2:9" ht="15.75" thickBot="1" x14ac:dyDescent="0.3">
      <c r="B249" s="139" t="s">
        <v>6</v>
      </c>
      <c r="C249" s="679" t="s">
        <v>3</v>
      </c>
      <c r="D249" s="680"/>
      <c r="E249" s="680"/>
      <c r="F249" s="680"/>
      <c r="G249" s="680"/>
      <c r="H249" s="680"/>
      <c r="I249" s="681"/>
    </row>
    <row r="250" spans="2:9" ht="23.25" thickBot="1" x14ac:dyDescent="0.3">
      <c r="B250" s="682" t="s">
        <v>36</v>
      </c>
      <c r="C250" s="683"/>
      <c r="D250" s="692" t="s">
        <v>37</v>
      </c>
      <c r="E250" s="693"/>
      <c r="F250" s="140" t="s">
        <v>38</v>
      </c>
      <c r="G250" s="100" t="s">
        <v>39</v>
      </c>
      <c r="H250" s="100" t="s">
        <v>40</v>
      </c>
      <c r="I250" s="101" t="s">
        <v>41</v>
      </c>
    </row>
    <row r="251" spans="2:9" ht="17.25" customHeight="1" x14ac:dyDescent="0.25">
      <c r="B251" s="684" t="s">
        <v>44</v>
      </c>
      <c r="C251" s="685"/>
      <c r="D251" s="694" t="str">
        <f>CENIK_št_1!B70</f>
        <v>Tovorno vozilo kanaljet</v>
      </c>
      <c r="E251" s="695"/>
      <c r="F251" s="141">
        <v>280000</v>
      </c>
      <c r="G251" s="142"/>
      <c r="H251" s="142"/>
      <c r="I251" s="143"/>
    </row>
    <row r="252" spans="2:9" ht="15" customHeight="1" x14ac:dyDescent="0.25">
      <c r="B252" s="104"/>
      <c r="C252" s="105"/>
      <c r="D252" s="696" t="s">
        <v>209</v>
      </c>
      <c r="E252" s="697"/>
      <c r="F252" s="144">
        <v>96</v>
      </c>
      <c r="G252" s="145"/>
      <c r="H252" s="145"/>
      <c r="I252" s="146"/>
    </row>
    <row r="253" spans="2:9" x14ac:dyDescent="0.25">
      <c r="B253" s="104"/>
      <c r="C253" s="105"/>
      <c r="D253" s="696" t="s">
        <v>208</v>
      </c>
      <c r="E253" s="697"/>
      <c r="F253" s="144">
        <v>80</v>
      </c>
      <c r="G253" s="145"/>
      <c r="H253" s="145"/>
      <c r="I253" s="146"/>
    </row>
    <row r="254" spans="2:9" x14ac:dyDescent="0.25">
      <c r="B254" s="667"/>
      <c r="C254" s="668"/>
      <c r="D254" s="686" t="s">
        <v>204</v>
      </c>
      <c r="E254" s="687"/>
      <c r="F254" s="147"/>
      <c r="G254" s="114"/>
      <c r="H254" s="106">
        <f>H241</f>
        <v>17.676717614689657</v>
      </c>
      <c r="I254" s="107">
        <f>F253*H254</f>
        <v>1414.1374091751727</v>
      </c>
    </row>
    <row r="255" spans="2:9" ht="24.75" customHeight="1" x14ac:dyDescent="0.25">
      <c r="B255" s="667"/>
      <c r="C255" s="668"/>
      <c r="D255" s="698" t="s">
        <v>211</v>
      </c>
      <c r="E255" s="699"/>
      <c r="F255" s="148"/>
      <c r="G255" s="114"/>
      <c r="H255" s="106">
        <f>15000/12/F253</f>
        <v>15.625</v>
      </c>
      <c r="I255" s="107">
        <f>F253*H255</f>
        <v>1250</v>
      </c>
    </row>
    <row r="256" spans="2:9" ht="18.75" customHeight="1" x14ac:dyDescent="0.25">
      <c r="B256" s="667"/>
      <c r="C256" s="668"/>
      <c r="D256" s="701" t="s">
        <v>374</v>
      </c>
      <c r="E256" s="699"/>
      <c r="F256" s="148"/>
      <c r="G256" s="114">
        <f>35/100*40</f>
        <v>14</v>
      </c>
      <c r="H256" s="106">
        <v>1.56</v>
      </c>
      <c r="I256" s="116">
        <f>F253*G256*H256</f>
        <v>1747.2</v>
      </c>
    </row>
    <row r="257" spans="2:9" ht="15.75" thickBot="1" x14ac:dyDescent="0.3">
      <c r="B257" s="667"/>
      <c r="C257" s="668"/>
      <c r="D257" s="686" t="s">
        <v>164</v>
      </c>
      <c r="E257" s="687"/>
      <c r="F257" s="149"/>
      <c r="G257" s="114"/>
      <c r="H257" s="114"/>
      <c r="I257" s="113">
        <f>F251/F252</f>
        <v>2916.6666666666665</v>
      </c>
    </row>
    <row r="258" spans="2:9" ht="15.75" thickTop="1" x14ac:dyDescent="0.25">
      <c r="B258" s="667"/>
      <c r="C258" s="668"/>
      <c r="D258" s="669" t="s">
        <v>158</v>
      </c>
      <c r="E258" s="670"/>
      <c r="F258" s="148"/>
      <c r="G258" s="114"/>
      <c r="H258" s="114"/>
      <c r="I258" s="150">
        <f>SUM(I254:I257)</f>
        <v>7328.0040758418399</v>
      </c>
    </row>
    <row r="259" spans="2:9" ht="15.75" thickBot="1" x14ac:dyDescent="0.3">
      <c r="B259" s="671"/>
      <c r="C259" s="672"/>
      <c r="D259" s="673" t="s">
        <v>207</v>
      </c>
      <c r="E259" s="674"/>
      <c r="F259" s="151"/>
      <c r="G259" s="152"/>
      <c r="H259" s="153"/>
      <c r="I259" s="109">
        <f>(I258/F253)*0.05</f>
        <v>4.5800025474011496</v>
      </c>
    </row>
    <row r="260" spans="2:9" ht="15.75" thickBot="1" x14ac:dyDescent="0.3">
      <c r="B260" s="675"/>
      <c r="C260" s="676"/>
      <c r="D260" s="677" t="s">
        <v>40</v>
      </c>
      <c r="E260" s="678"/>
      <c r="F260" s="154"/>
      <c r="G260" s="123"/>
      <c r="H260" s="155"/>
      <c r="I260" s="125">
        <f>(I258/F253)+I259</f>
        <v>96.180053495424147</v>
      </c>
    </row>
    <row r="261" spans="2:9" ht="15.75" thickBot="1" x14ac:dyDescent="0.3">
      <c r="B261" s="338"/>
      <c r="C261" s="338"/>
      <c r="D261" s="557"/>
      <c r="E261" s="557"/>
      <c r="F261" s="339"/>
      <c r="G261" s="340"/>
      <c r="H261" s="340"/>
      <c r="I261" s="558"/>
    </row>
    <row r="262" spans="2:9" ht="15.75" thickBot="1" x14ac:dyDescent="0.3">
      <c r="B262" s="42" t="s">
        <v>6</v>
      </c>
      <c r="C262" s="577" t="s">
        <v>3</v>
      </c>
      <c r="D262" s="578"/>
      <c r="E262" s="578"/>
      <c r="F262" s="578"/>
      <c r="G262" s="578"/>
      <c r="H262" s="578"/>
      <c r="I262" s="579"/>
    </row>
    <row r="263" spans="2:9" ht="23.25" customHeight="1" thickBot="1" x14ac:dyDescent="0.3">
      <c r="B263" s="649" t="s">
        <v>36</v>
      </c>
      <c r="C263" s="702"/>
      <c r="D263" s="651" t="s">
        <v>37</v>
      </c>
      <c r="E263" s="652"/>
      <c r="F263" s="189" t="s">
        <v>38</v>
      </c>
      <c r="G263" s="48" t="s">
        <v>39</v>
      </c>
      <c r="H263" s="48" t="s">
        <v>40</v>
      </c>
      <c r="I263" s="49" t="s">
        <v>41</v>
      </c>
    </row>
    <row r="264" spans="2:9" ht="33" customHeight="1" x14ac:dyDescent="0.25">
      <c r="B264" s="684" t="s">
        <v>45</v>
      </c>
      <c r="C264" s="703"/>
      <c r="D264" s="694" t="str">
        <f>CENIK_št_1!B71</f>
        <v>Visokotlačni čistilec na tovornem vozilu do 3,5 sdm</v>
      </c>
      <c r="E264" s="695"/>
      <c r="F264" s="190">
        <f>24088+45000</f>
        <v>69088</v>
      </c>
      <c r="G264" s="191"/>
      <c r="H264" s="191"/>
      <c r="I264" s="192"/>
    </row>
    <row r="265" spans="2:9" ht="15" customHeight="1" x14ac:dyDescent="0.25">
      <c r="B265" s="54"/>
      <c r="C265" s="55"/>
      <c r="D265" s="735" t="s">
        <v>209</v>
      </c>
      <c r="E265" s="736"/>
      <c r="F265" s="193">
        <v>96</v>
      </c>
      <c r="G265" s="194"/>
      <c r="H265" s="194"/>
      <c r="I265" s="195"/>
    </row>
    <row r="266" spans="2:9" ht="15" customHeight="1" x14ac:dyDescent="0.25">
      <c r="B266" s="54"/>
      <c r="C266" s="55"/>
      <c r="D266" s="735" t="s">
        <v>208</v>
      </c>
      <c r="E266" s="736"/>
      <c r="F266" s="193">
        <v>50</v>
      </c>
      <c r="G266" s="194"/>
      <c r="H266" s="194"/>
      <c r="I266" s="195"/>
    </row>
    <row r="267" spans="2:9" x14ac:dyDescent="0.25">
      <c r="B267" s="705"/>
      <c r="C267" s="706"/>
      <c r="D267" s="704" t="s">
        <v>204</v>
      </c>
      <c r="E267" s="660"/>
      <c r="F267" s="196"/>
      <c r="G267" s="23"/>
      <c r="H267" s="24">
        <f>H254</f>
        <v>17.676717614689657</v>
      </c>
      <c r="I267" s="25">
        <f>F266*H267</f>
        <v>883.83588073448288</v>
      </c>
    </row>
    <row r="268" spans="2:9" ht="15" customHeight="1" x14ac:dyDescent="0.25">
      <c r="B268" s="705"/>
      <c r="C268" s="706"/>
      <c r="D268" s="688" t="s">
        <v>211</v>
      </c>
      <c r="E268" s="689"/>
      <c r="F268" s="197"/>
      <c r="G268" s="23"/>
      <c r="H268" s="24">
        <f>10000/12/F266</f>
        <v>16.666666666666668</v>
      </c>
      <c r="I268" s="25">
        <f>F266*H268</f>
        <v>833.33333333333337</v>
      </c>
    </row>
    <row r="269" spans="2:9" ht="15" customHeight="1" x14ac:dyDescent="0.25">
      <c r="B269" s="705"/>
      <c r="C269" s="706"/>
      <c r="D269" s="688" t="s">
        <v>374</v>
      </c>
      <c r="E269" s="689"/>
      <c r="F269" s="197"/>
      <c r="G269" s="23">
        <f>45/100*40</f>
        <v>18</v>
      </c>
      <c r="H269" s="24">
        <v>1.56</v>
      </c>
      <c r="I269" s="159">
        <f>F266*G269*H269</f>
        <v>1404</v>
      </c>
    </row>
    <row r="270" spans="2:9" ht="15.75" thickBot="1" x14ac:dyDescent="0.3">
      <c r="B270" s="705"/>
      <c r="C270" s="706"/>
      <c r="D270" s="704" t="s">
        <v>164</v>
      </c>
      <c r="E270" s="660"/>
      <c r="F270" s="198"/>
      <c r="G270" s="23"/>
      <c r="H270" s="23"/>
      <c r="I270" s="26">
        <f>F264/F265</f>
        <v>719.66666666666663</v>
      </c>
    </row>
    <row r="271" spans="2:9" ht="15.75" thickTop="1" x14ac:dyDescent="0.25">
      <c r="B271" s="705"/>
      <c r="C271" s="706"/>
      <c r="D271" s="659" t="s">
        <v>158</v>
      </c>
      <c r="E271" s="707"/>
      <c r="F271" s="197"/>
      <c r="G271" s="23"/>
      <c r="H271" s="23"/>
      <c r="I271" s="199">
        <f>SUM(I267:I270)</f>
        <v>3840.8358807344825</v>
      </c>
    </row>
    <row r="272" spans="2:9" ht="15.75" thickBot="1" x14ac:dyDescent="0.3">
      <c r="B272" s="708"/>
      <c r="C272" s="709"/>
      <c r="D272" s="710" t="s">
        <v>207</v>
      </c>
      <c r="E272" s="711"/>
      <c r="F272" s="200"/>
      <c r="G272" s="28"/>
      <c r="H272" s="201"/>
      <c r="I272" s="29">
        <f>(I271/F266)*0.05</f>
        <v>3.8408358807344829</v>
      </c>
    </row>
    <row r="273" spans="2:9" ht="15.75" thickBot="1" x14ac:dyDescent="0.3">
      <c r="B273" s="663"/>
      <c r="C273" s="664"/>
      <c r="D273" s="665" t="s">
        <v>40</v>
      </c>
      <c r="E273" s="666"/>
      <c r="F273" s="202"/>
      <c r="G273" s="22"/>
      <c r="H273" s="203"/>
      <c r="I273" s="50">
        <f>(I271/F266)+I272</f>
        <v>80.657553495424139</v>
      </c>
    </row>
    <row r="274" spans="2:9" ht="15.75" thickBot="1" x14ac:dyDescent="0.3">
      <c r="B274" s="126"/>
      <c r="C274" s="126"/>
      <c r="D274" s="127"/>
      <c r="E274" s="127"/>
      <c r="F274" s="156"/>
      <c r="G274" s="128"/>
      <c r="H274" s="128"/>
      <c r="I274" s="130"/>
    </row>
    <row r="275" spans="2:9" ht="15.75" thickBot="1" x14ac:dyDescent="0.3">
      <c r="B275" s="139" t="s">
        <v>6</v>
      </c>
      <c r="C275" s="679" t="s">
        <v>3</v>
      </c>
      <c r="D275" s="680"/>
      <c r="E275" s="680"/>
      <c r="F275" s="680"/>
      <c r="G275" s="680"/>
      <c r="H275" s="680"/>
      <c r="I275" s="681"/>
    </row>
    <row r="276" spans="2:9" ht="23.25" thickBot="1" x14ac:dyDescent="0.3">
      <c r="B276" s="682" t="s">
        <v>36</v>
      </c>
      <c r="C276" s="683"/>
      <c r="D276" s="692" t="s">
        <v>37</v>
      </c>
      <c r="E276" s="693"/>
      <c r="F276" s="140" t="s">
        <v>38</v>
      </c>
      <c r="G276" s="100" t="s">
        <v>39</v>
      </c>
      <c r="H276" s="100" t="s">
        <v>40</v>
      </c>
      <c r="I276" s="101" t="s">
        <v>41</v>
      </c>
    </row>
    <row r="277" spans="2:9" ht="30" customHeight="1" x14ac:dyDescent="0.25">
      <c r="B277" s="684" t="s">
        <v>46</v>
      </c>
      <c r="C277" s="685"/>
      <c r="D277" s="694" t="str">
        <f>CENIK_št_1!B72</f>
        <v>Tovorno vozilo do 15 t sdm z nadgradnjo za črpanje greznic</v>
      </c>
      <c r="E277" s="695"/>
      <c r="F277" s="141">
        <v>105000</v>
      </c>
      <c r="G277" s="142"/>
      <c r="H277" s="142"/>
      <c r="I277" s="143"/>
    </row>
    <row r="278" spans="2:9" x14ac:dyDescent="0.25">
      <c r="B278" s="104"/>
      <c r="C278" s="105"/>
      <c r="D278" s="696" t="s">
        <v>209</v>
      </c>
      <c r="E278" s="697"/>
      <c r="F278" s="144">
        <v>96</v>
      </c>
      <c r="G278" s="145"/>
      <c r="H278" s="145"/>
      <c r="I278" s="146"/>
    </row>
    <row r="279" spans="2:9" x14ac:dyDescent="0.25">
      <c r="B279" s="104"/>
      <c r="C279" s="105"/>
      <c r="D279" s="696" t="s">
        <v>208</v>
      </c>
      <c r="E279" s="697"/>
      <c r="F279" s="144">
        <v>90</v>
      </c>
      <c r="G279" s="145"/>
      <c r="H279" s="145"/>
      <c r="I279" s="146"/>
    </row>
    <row r="280" spans="2:9" ht="16.5" customHeight="1" x14ac:dyDescent="0.25">
      <c r="B280" s="667"/>
      <c r="C280" s="668"/>
      <c r="D280" s="686" t="s">
        <v>204</v>
      </c>
      <c r="E280" s="687"/>
      <c r="F280" s="147"/>
      <c r="G280" s="114"/>
      <c r="H280" s="106">
        <f>KALKULACIJA_CENIK_št_1!H254</f>
        <v>17.676717614689657</v>
      </c>
      <c r="I280" s="107">
        <f>F279*H280</f>
        <v>1590.9045853220691</v>
      </c>
    </row>
    <row r="281" spans="2:9" ht="24.75" customHeight="1" x14ac:dyDescent="0.25">
      <c r="B281" s="667"/>
      <c r="C281" s="668"/>
      <c r="D281" s="698" t="s">
        <v>211</v>
      </c>
      <c r="E281" s="699"/>
      <c r="F281" s="148"/>
      <c r="G281" s="114"/>
      <c r="H281" s="106">
        <v>5.09</v>
      </c>
      <c r="I281" s="107">
        <f>F279*H281</f>
        <v>458.09999999999997</v>
      </c>
    </row>
    <row r="282" spans="2:9" ht="18.75" customHeight="1" x14ac:dyDescent="0.25">
      <c r="B282" s="667"/>
      <c r="C282" s="668"/>
      <c r="D282" s="701" t="s">
        <v>374</v>
      </c>
      <c r="E282" s="699"/>
      <c r="F282" s="148"/>
      <c r="G282" s="114">
        <v>11.5</v>
      </c>
      <c r="H282" s="106">
        <v>1.56</v>
      </c>
      <c r="I282" s="116">
        <f>F279*G282*H282</f>
        <v>1614.6000000000001</v>
      </c>
    </row>
    <row r="283" spans="2:9" ht="15.75" thickBot="1" x14ac:dyDescent="0.3">
      <c r="B283" s="667"/>
      <c r="C283" s="668"/>
      <c r="D283" s="686" t="s">
        <v>164</v>
      </c>
      <c r="E283" s="687"/>
      <c r="F283" s="149"/>
      <c r="G283" s="114"/>
      <c r="H283" s="114"/>
      <c r="I283" s="113">
        <f>F277/F278</f>
        <v>1093.75</v>
      </c>
    </row>
    <row r="284" spans="2:9" ht="15.75" thickTop="1" x14ac:dyDescent="0.25">
      <c r="B284" s="667"/>
      <c r="C284" s="668"/>
      <c r="D284" s="669" t="s">
        <v>158</v>
      </c>
      <c r="E284" s="670"/>
      <c r="F284" s="148"/>
      <c r="G284" s="114"/>
      <c r="H284" s="114"/>
      <c r="I284" s="150">
        <f>SUM(I280:I283)</f>
        <v>4757.3545853220694</v>
      </c>
    </row>
    <row r="285" spans="2:9" ht="15.75" thickBot="1" x14ac:dyDescent="0.3">
      <c r="B285" s="671"/>
      <c r="C285" s="672"/>
      <c r="D285" s="673" t="s">
        <v>207</v>
      </c>
      <c r="E285" s="674"/>
      <c r="F285" s="151"/>
      <c r="G285" s="152"/>
      <c r="H285" s="153"/>
      <c r="I285" s="109">
        <f>(I284/F279)*0.05</f>
        <v>2.6429747696233719</v>
      </c>
    </row>
    <row r="286" spans="2:9" ht="15.75" thickBot="1" x14ac:dyDescent="0.3">
      <c r="B286" s="675"/>
      <c r="C286" s="676"/>
      <c r="D286" s="677" t="s">
        <v>40</v>
      </c>
      <c r="E286" s="678"/>
      <c r="F286" s="154"/>
      <c r="G286" s="123"/>
      <c r="H286" s="155"/>
      <c r="I286" s="125">
        <f>(I284/F279)+I285</f>
        <v>55.502470162090809</v>
      </c>
    </row>
    <row r="287" spans="2:9" ht="15.75" thickBot="1" x14ac:dyDescent="0.3">
      <c r="B287" s="126"/>
      <c r="C287" s="126"/>
      <c r="D287" s="127"/>
      <c r="E287" s="127"/>
      <c r="F287" s="156"/>
      <c r="G287" s="128"/>
      <c r="H287" s="128"/>
      <c r="I287" s="130"/>
    </row>
    <row r="288" spans="2:9" ht="15.75" thickBot="1" x14ac:dyDescent="0.3">
      <c r="B288" s="139" t="s">
        <v>6</v>
      </c>
      <c r="C288" s="679" t="s">
        <v>3</v>
      </c>
      <c r="D288" s="680"/>
      <c r="E288" s="680"/>
      <c r="F288" s="680"/>
      <c r="G288" s="680"/>
      <c r="H288" s="680"/>
      <c r="I288" s="681"/>
    </row>
    <row r="289" spans="2:9" ht="23.25" thickBot="1" x14ac:dyDescent="0.3">
      <c r="B289" s="682" t="s">
        <v>36</v>
      </c>
      <c r="C289" s="683"/>
      <c r="D289" s="692" t="s">
        <v>37</v>
      </c>
      <c r="E289" s="693"/>
      <c r="F289" s="140" t="s">
        <v>38</v>
      </c>
      <c r="G289" s="100" t="s">
        <v>39</v>
      </c>
      <c r="H289" s="100" t="s">
        <v>40</v>
      </c>
      <c r="I289" s="101" t="s">
        <v>41</v>
      </c>
    </row>
    <row r="290" spans="2:9" x14ac:dyDescent="0.25">
      <c r="B290" s="684" t="s">
        <v>47</v>
      </c>
      <c r="C290" s="685"/>
      <c r="D290" s="694" t="str">
        <f>CENIK_št_1!B73</f>
        <v>Unimog (razreda 1200, 1400, 1600)</v>
      </c>
      <c r="E290" s="695"/>
      <c r="F290" s="141">
        <v>25000</v>
      </c>
      <c r="G290" s="142"/>
      <c r="H290" s="142"/>
      <c r="I290" s="143"/>
    </row>
    <row r="291" spans="2:9" ht="15" customHeight="1" x14ac:dyDescent="0.25">
      <c r="B291" s="104"/>
      <c r="C291" s="105"/>
      <c r="D291" s="696" t="s">
        <v>209</v>
      </c>
      <c r="E291" s="697"/>
      <c r="F291" s="144">
        <v>24</v>
      </c>
      <c r="G291" s="145"/>
      <c r="H291" s="145"/>
      <c r="I291" s="146"/>
    </row>
    <row r="292" spans="2:9" x14ac:dyDescent="0.25">
      <c r="B292" s="104"/>
      <c r="C292" s="105"/>
      <c r="D292" s="696" t="s">
        <v>208</v>
      </c>
      <c r="E292" s="697"/>
      <c r="F292" s="144">
        <v>49</v>
      </c>
      <c r="G292" s="145"/>
      <c r="H292" s="145"/>
      <c r="I292" s="146"/>
    </row>
    <row r="293" spans="2:9" x14ac:dyDescent="0.25">
      <c r="B293" s="667"/>
      <c r="C293" s="668"/>
      <c r="D293" s="686" t="s">
        <v>204</v>
      </c>
      <c r="E293" s="687"/>
      <c r="F293" s="147"/>
      <c r="G293" s="114"/>
      <c r="H293" s="106">
        <f>H280</f>
        <v>17.676717614689657</v>
      </c>
      <c r="I293" s="107">
        <f>F292*H293</f>
        <v>866.15916311979322</v>
      </c>
    </row>
    <row r="294" spans="2:9" ht="24.75" customHeight="1" x14ac:dyDescent="0.25">
      <c r="B294" s="667"/>
      <c r="C294" s="668"/>
      <c r="D294" s="698" t="s">
        <v>211</v>
      </c>
      <c r="E294" s="699"/>
      <c r="F294" s="148"/>
      <c r="G294" s="114"/>
      <c r="H294" s="106">
        <f>8500/12/F292</f>
        <v>14.455782312925171</v>
      </c>
      <c r="I294" s="107">
        <f>F292*H294</f>
        <v>708.33333333333337</v>
      </c>
    </row>
    <row r="295" spans="2:9" ht="21" customHeight="1" x14ac:dyDescent="0.25">
      <c r="B295" s="667"/>
      <c r="C295" s="668"/>
      <c r="D295" s="701" t="s">
        <v>374</v>
      </c>
      <c r="E295" s="699"/>
      <c r="F295" s="148"/>
      <c r="G295" s="114">
        <f>35/100*45</f>
        <v>15.749999999999998</v>
      </c>
      <c r="H295" s="106">
        <v>1.56</v>
      </c>
      <c r="I295" s="116">
        <f>F292*G295*H295</f>
        <v>1203.9299999999998</v>
      </c>
    </row>
    <row r="296" spans="2:9" ht="15.75" thickBot="1" x14ac:dyDescent="0.3">
      <c r="B296" s="667"/>
      <c r="C296" s="668"/>
      <c r="D296" s="686" t="s">
        <v>164</v>
      </c>
      <c r="E296" s="687"/>
      <c r="F296" s="149"/>
      <c r="G296" s="114"/>
      <c r="H296" s="114"/>
      <c r="I296" s="113">
        <f>F290/F291</f>
        <v>1041.6666666666667</v>
      </c>
    </row>
    <row r="297" spans="2:9" ht="15.75" thickTop="1" x14ac:dyDescent="0.25">
      <c r="B297" s="667"/>
      <c r="C297" s="668"/>
      <c r="D297" s="669" t="s">
        <v>158</v>
      </c>
      <c r="E297" s="670"/>
      <c r="F297" s="148"/>
      <c r="G297" s="114"/>
      <c r="H297" s="114"/>
      <c r="I297" s="150">
        <f>SUM(I293:I296)</f>
        <v>3820.0891631197928</v>
      </c>
    </row>
    <row r="298" spans="2:9" ht="15.75" thickBot="1" x14ac:dyDescent="0.3">
      <c r="B298" s="671"/>
      <c r="C298" s="672"/>
      <c r="D298" s="673" t="s">
        <v>207</v>
      </c>
      <c r="E298" s="674"/>
      <c r="F298" s="151"/>
      <c r="G298" s="152"/>
      <c r="H298" s="153"/>
      <c r="I298" s="109">
        <f>(I297/F292)*0.05</f>
        <v>3.8980501664487686</v>
      </c>
    </row>
    <row r="299" spans="2:9" ht="15.75" thickBot="1" x14ac:dyDescent="0.3">
      <c r="B299" s="675"/>
      <c r="C299" s="676"/>
      <c r="D299" s="677" t="s">
        <v>40</v>
      </c>
      <c r="E299" s="678"/>
      <c r="F299" s="154"/>
      <c r="G299" s="123"/>
      <c r="H299" s="155"/>
      <c r="I299" s="125">
        <f>(I297/F292)+I298</f>
        <v>81.859053495424135</v>
      </c>
    </row>
    <row r="300" spans="2:9" ht="15.75" thickBot="1" x14ac:dyDescent="0.3">
      <c r="B300" s="126"/>
      <c r="C300" s="126"/>
      <c r="D300" s="127"/>
      <c r="E300" s="127"/>
      <c r="F300" s="156"/>
      <c r="G300" s="128"/>
      <c r="H300" s="128"/>
      <c r="I300" s="130"/>
    </row>
    <row r="301" spans="2:9" ht="15.75" thickBot="1" x14ac:dyDescent="0.3">
      <c r="B301" s="42" t="s">
        <v>6</v>
      </c>
      <c r="C301" s="577" t="s">
        <v>3</v>
      </c>
      <c r="D301" s="578"/>
      <c r="E301" s="578"/>
      <c r="F301" s="578"/>
      <c r="G301" s="578"/>
      <c r="H301" s="578"/>
      <c r="I301" s="579"/>
    </row>
    <row r="302" spans="2:9" ht="34.5" customHeight="1" thickBot="1" x14ac:dyDescent="0.3">
      <c r="B302" s="649" t="s">
        <v>36</v>
      </c>
      <c r="C302" s="683"/>
      <c r="D302" s="651" t="s">
        <v>37</v>
      </c>
      <c r="E302" s="693"/>
      <c r="F302" s="189" t="s">
        <v>38</v>
      </c>
      <c r="G302" s="48" t="s">
        <v>39</v>
      </c>
      <c r="H302" s="48" t="s">
        <v>40</v>
      </c>
      <c r="I302" s="49" t="s">
        <v>41</v>
      </c>
    </row>
    <row r="303" spans="2:9" ht="18.75" customHeight="1" x14ac:dyDescent="0.25">
      <c r="B303" s="684" t="s">
        <v>49</v>
      </c>
      <c r="C303" s="703"/>
      <c r="D303" s="694" t="str">
        <f>[1]CENIK_št_1!B50</f>
        <v>Unimog (razreda U300, U500)</v>
      </c>
      <c r="E303" s="695"/>
      <c r="F303" s="190">
        <v>200000</v>
      </c>
      <c r="G303" s="191"/>
      <c r="H303" s="191"/>
      <c r="I303" s="192"/>
    </row>
    <row r="304" spans="2:9" ht="15" customHeight="1" x14ac:dyDescent="0.25">
      <c r="B304" s="54"/>
      <c r="C304" s="55"/>
      <c r="D304" s="735" t="s">
        <v>209</v>
      </c>
      <c r="E304" s="782"/>
      <c r="F304" s="193">
        <v>96</v>
      </c>
      <c r="G304" s="194"/>
      <c r="H304" s="194"/>
      <c r="I304" s="195"/>
    </row>
    <row r="305" spans="2:9" ht="15" customHeight="1" x14ac:dyDescent="0.25">
      <c r="B305" s="54"/>
      <c r="C305" s="55"/>
      <c r="D305" s="735" t="s">
        <v>208</v>
      </c>
      <c r="E305" s="782"/>
      <c r="F305" s="193">
        <v>90</v>
      </c>
      <c r="G305" s="194"/>
      <c r="H305" s="194"/>
      <c r="I305" s="195"/>
    </row>
    <row r="306" spans="2:9" x14ac:dyDescent="0.25">
      <c r="B306" s="657"/>
      <c r="C306" s="658"/>
      <c r="D306" s="700" t="s">
        <v>204</v>
      </c>
      <c r="E306" s="779"/>
      <c r="F306" s="196"/>
      <c r="G306" s="23"/>
      <c r="H306" s="24">
        <f>H293</f>
        <v>17.676717614689657</v>
      </c>
      <c r="I306" s="25">
        <f>F305*H306</f>
        <v>1590.9045853220691</v>
      </c>
    </row>
    <row r="307" spans="2:9" ht="27" customHeight="1" x14ac:dyDescent="0.25">
      <c r="B307" s="657"/>
      <c r="C307" s="658"/>
      <c r="D307" s="701" t="s">
        <v>211</v>
      </c>
      <c r="E307" s="751"/>
      <c r="F307" s="197"/>
      <c r="G307" s="23"/>
      <c r="H307" s="24">
        <f>9500/12/F305</f>
        <v>8.7962962962962958</v>
      </c>
      <c r="I307" s="25">
        <f>F305*H307</f>
        <v>791.66666666666663</v>
      </c>
    </row>
    <row r="308" spans="2:9" ht="17.25" customHeight="1" x14ac:dyDescent="0.25">
      <c r="B308" s="657"/>
      <c r="C308" s="658"/>
      <c r="D308" s="701" t="s">
        <v>374</v>
      </c>
      <c r="E308" s="751"/>
      <c r="F308" s="197"/>
      <c r="G308" s="23">
        <v>19</v>
      </c>
      <c r="H308" s="24">
        <v>1.56</v>
      </c>
      <c r="I308" s="159">
        <f>F305*G308*H308</f>
        <v>2667.6</v>
      </c>
    </row>
    <row r="309" spans="2:9" ht="15.75" thickBot="1" x14ac:dyDescent="0.3">
      <c r="B309" s="657"/>
      <c r="C309" s="658"/>
      <c r="D309" s="700" t="s">
        <v>164</v>
      </c>
      <c r="E309" s="779"/>
      <c r="F309" s="198"/>
      <c r="G309" s="23"/>
      <c r="H309" s="23"/>
      <c r="I309" s="26">
        <f>F303/F304</f>
        <v>2083.3333333333335</v>
      </c>
    </row>
    <row r="310" spans="2:9" ht="15.75" thickTop="1" x14ac:dyDescent="0.25">
      <c r="B310" s="657"/>
      <c r="C310" s="658"/>
      <c r="D310" s="777" t="s">
        <v>158</v>
      </c>
      <c r="E310" s="778"/>
      <c r="F310" s="197"/>
      <c r="G310" s="23"/>
      <c r="H310" s="23"/>
      <c r="I310" s="199">
        <f>SUM(I306:I309)</f>
        <v>7133.504585322069</v>
      </c>
    </row>
    <row r="311" spans="2:9" ht="15.75" thickBot="1" x14ac:dyDescent="0.3">
      <c r="B311" s="712"/>
      <c r="C311" s="713"/>
      <c r="D311" s="714" t="s">
        <v>207</v>
      </c>
      <c r="E311" s="715"/>
      <c r="F311" s="200"/>
      <c r="G311" s="28"/>
      <c r="H311" s="201"/>
      <c r="I311" s="29">
        <f>(I310/F305)*0.05</f>
        <v>3.9630581029567047</v>
      </c>
    </row>
    <row r="312" spans="2:9" ht="15.75" thickBot="1" x14ac:dyDescent="0.3">
      <c r="B312" s="663"/>
      <c r="C312" s="664"/>
      <c r="D312" s="665" t="s">
        <v>40</v>
      </c>
      <c r="E312" s="666"/>
      <c r="F312" s="202"/>
      <c r="G312" s="22"/>
      <c r="H312" s="203"/>
      <c r="I312" s="50">
        <f>(I310/F305)+I311</f>
        <v>83.224220162090802</v>
      </c>
    </row>
    <row r="313" spans="2:9" x14ac:dyDescent="0.25">
      <c r="B313" s="126"/>
      <c r="C313" s="126"/>
      <c r="D313" s="127"/>
      <c r="E313" s="127"/>
      <c r="F313" s="156"/>
      <c r="G313" s="128"/>
      <c r="H313" s="128"/>
      <c r="I313" s="130"/>
    </row>
    <row r="314" spans="2:9" ht="15.75" thickBot="1" x14ac:dyDescent="0.3"/>
    <row r="315" spans="2:9" ht="15.75" thickBot="1" x14ac:dyDescent="0.3">
      <c r="B315" s="139" t="s">
        <v>6</v>
      </c>
      <c r="C315" s="679" t="s">
        <v>3</v>
      </c>
      <c r="D315" s="680"/>
      <c r="E315" s="680"/>
      <c r="F315" s="680"/>
      <c r="G315" s="680"/>
      <c r="H315" s="680"/>
      <c r="I315" s="681"/>
    </row>
    <row r="316" spans="2:9" ht="23.25" thickBot="1" x14ac:dyDescent="0.3">
      <c r="B316" s="682" t="s">
        <v>36</v>
      </c>
      <c r="C316" s="683"/>
      <c r="D316" s="692" t="s">
        <v>37</v>
      </c>
      <c r="E316" s="693"/>
      <c r="F316" s="140" t="s">
        <v>38</v>
      </c>
      <c r="G316" s="100" t="s">
        <v>39</v>
      </c>
      <c r="H316" s="100" t="s">
        <v>40</v>
      </c>
      <c r="I316" s="101" t="s">
        <v>41</v>
      </c>
    </row>
    <row r="317" spans="2:9" x14ac:dyDescent="0.25">
      <c r="B317" s="684" t="s">
        <v>471</v>
      </c>
      <c r="C317" s="685"/>
      <c r="D317" s="694" t="str">
        <f>CENIK_št_1!B76</f>
        <v>Traktor [do 50kW]</v>
      </c>
      <c r="E317" s="695"/>
      <c r="F317" s="141">
        <v>50000</v>
      </c>
      <c r="G317" s="142"/>
      <c r="H317" s="142"/>
      <c r="I317" s="143"/>
    </row>
    <row r="318" spans="2:9" ht="15" customHeight="1" x14ac:dyDescent="0.25">
      <c r="B318" s="104"/>
      <c r="C318" s="105"/>
      <c r="D318" s="696" t="s">
        <v>209</v>
      </c>
      <c r="E318" s="697"/>
      <c r="F318" s="144">
        <v>96</v>
      </c>
      <c r="G318" s="145"/>
      <c r="H318" s="145"/>
      <c r="I318" s="146"/>
    </row>
    <row r="319" spans="2:9" x14ac:dyDescent="0.25">
      <c r="B319" s="104"/>
      <c r="C319" s="105"/>
      <c r="D319" s="696" t="s">
        <v>208</v>
      </c>
      <c r="E319" s="697"/>
      <c r="F319" s="144">
        <v>80</v>
      </c>
      <c r="G319" s="145"/>
      <c r="H319" s="145"/>
      <c r="I319" s="146"/>
    </row>
    <row r="320" spans="2:9" x14ac:dyDescent="0.25">
      <c r="B320" s="667"/>
      <c r="C320" s="668"/>
      <c r="D320" s="686" t="s">
        <v>204</v>
      </c>
      <c r="E320" s="687"/>
      <c r="F320" s="147"/>
      <c r="G320" s="114"/>
      <c r="H320" s="106">
        <f>H306</f>
        <v>17.676717614689657</v>
      </c>
      <c r="I320" s="107">
        <f>F319*H320</f>
        <v>1414.1374091751727</v>
      </c>
    </row>
    <row r="321" spans="2:9" ht="25.5" customHeight="1" x14ac:dyDescent="0.25">
      <c r="B321" s="667"/>
      <c r="C321" s="668"/>
      <c r="D321" s="698" t="s">
        <v>211</v>
      </c>
      <c r="E321" s="699"/>
      <c r="F321" s="148"/>
      <c r="G321" s="114"/>
      <c r="H321" s="106">
        <f>2000/12/F319</f>
        <v>2.083333333333333</v>
      </c>
      <c r="I321" s="107">
        <f>F319*H321</f>
        <v>166.66666666666663</v>
      </c>
    </row>
    <row r="322" spans="2:9" ht="24.75" customHeight="1" x14ac:dyDescent="0.25">
      <c r="B322" s="667"/>
      <c r="C322" s="668"/>
      <c r="D322" s="700" t="s">
        <v>376</v>
      </c>
      <c r="E322" s="687"/>
      <c r="F322" s="148"/>
      <c r="G322" s="172">
        <v>8</v>
      </c>
      <c r="H322" s="173">
        <v>1.56</v>
      </c>
      <c r="I322" s="116">
        <f>F319*G322*H322</f>
        <v>998.40000000000009</v>
      </c>
    </row>
    <row r="323" spans="2:9" ht="15.75" thickBot="1" x14ac:dyDescent="0.3">
      <c r="B323" s="667"/>
      <c r="C323" s="668"/>
      <c r="D323" s="686" t="s">
        <v>164</v>
      </c>
      <c r="E323" s="687"/>
      <c r="F323" s="149"/>
      <c r="G323" s="114"/>
      <c r="H323" s="114"/>
      <c r="I323" s="113">
        <f>F317/F318</f>
        <v>520.83333333333337</v>
      </c>
    </row>
    <row r="324" spans="2:9" ht="15.75" thickTop="1" x14ac:dyDescent="0.25">
      <c r="B324" s="667"/>
      <c r="C324" s="668"/>
      <c r="D324" s="669" t="s">
        <v>158</v>
      </c>
      <c r="E324" s="670"/>
      <c r="F324" s="148"/>
      <c r="G324" s="114"/>
      <c r="H324" s="114"/>
      <c r="I324" s="150">
        <f>SUM(I320:I323)</f>
        <v>3100.0374091751728</v>
      </c>
    </row>
    <row r="325" spans="2:9" ht="15.75" thickBot="1" x14ac:dyDescent="0.3">
      <c r="B325" s="671"/>
      <c r="C325" s="672"/>
      <c r="D325" s="673" t="s">
        <v>207</v>
      </c>
      <c r="E325" s="674"/>
      <c r="F325" s="151"/>
      <c r="G325" s="152"/>
      <c r="H325" s="153"/>
      <c r="I325" s="109">
        <f>(I324/F319)*0.05</f>
        <v>1.9375233807344832</v>
      </c>
    </row>
    <row r="326" spans="2:9" ht="15.75" thickBot="1" x14ac:dyDescent="0.3">
      <c r="B326" s="675"/>
      <c r="C326" s="676"/>
      <c r="D326" s="677" t="s">
        <v>40</v>
      </c>
      <c r="E326" s="678"/>
      <c r="F326" s="154"/>
      <c r="G326" s="123"/>
      <c r="H326" s="155"/>
      <c r="I326" s="125">
        <f>(I324/F319)+I325</f>
        <v>40.687990995424144</v>
      </c>
    </row>
    <row r="327" spans="2:9" ht="15.75" thickBot="1" x14ac:dyDescent="0.3">
      <c r="B327" s="126"/>
      <c r="C327" s="126"/>
      <c r="D327" s="127"/>
      <c r="E327" s="127"/>
      <c r="F327" s="156"/>
      <c r="G327" s="128"/>
      <c r="H327" s="128"/>
      <c r="I327" s="130"/>
    </row>
    <row r="328" spans="2:9" ht="15.75" thickBot="1" x14ac:dyDescent="0.3">
      <c r="B328" s="139" t="s">
        <v>6</v>
      </c>
      <c r="C328" s="679" t="s">
        <v>3</v>
      </c>
      <c r="D328" s="680"/>
      <c r="E328" s="680"/>
      <c r="F328" s="680"/>
      <c r="G328" s="680"/>
      <c r="H328" s="680"/>
      <c r="I328" s="681"/>
    </row>
    <row r="329" spans="2:9" ht="23.25" thickBot="1" x14ac:dyDescent="0.3">
      <c r="B329" s="682" t="s">
        <v>36</v>
      </c>
      <c r="C329" s="683"/>
      <c r="D329" s="692" t="s">
        <v>37</v>
      </c>
      <c r="E329" s="693"/>
      <c r="F329" s="140" t="s">
        <v>38</v>
      </c>
      <c r="G329" s="100" t="s">
        <v>39</v>
      </c>
      <c r="H329" s="100" t="s">
        <v>40</v>
      </c>
      <c r="I329" s="101" t="s">
        <v>41</v>
      </c>
    </row>
    <row r="330" spans="2:9" x14ac:dyDescent="0.25">
      <c r="B330" s="684" t="s">
        <v>510</v>
      </c>
      <c r="C330" s="685"/>
      <c r="D330" s="694" t="str">
        <f>CENIK_št_1!B77</f>
        <v>Traktor [ 50 - 70 kW]</v>
      </c>
      <c r="E330" s="695"/>
      <c r="F330" s="141">
        <v>75000</v>
      </c>
      <c r="G330" s="142"/>
      <c r="H330" s="142"/>
      <c r="I330" s="143"/>
    </row>
    <row r="331" spans="2:9" ht="15" customHeight="1" x14ac:dyDescent="0.25">
      <c r="B331" s="104"/>
      <c r="C331" s="105"/>
      <c r="D331" s="696" t="s">
        <v>209</v>
      </c>
      <c r="E331" s="697"/>
      <c r="F331" s="144">
        <v>96</v>
      </c>
      <c r="G331" s="145"/>
      <c r="H331" s="145"/>
      <c r="I331" s="146"/>
    </row>
    <row r="332" spans="2:9" x14ac:dyDescent="0.25">
      <c r="B332" s="104"/>
      <c r="C332" s="105"/>
      <c r="D332" s="696" t="s">
        <v>208</v>
      </c>
      <c r="E332" s="697"/>
      <c r="F332" s="144">
        <v>100</v>
      </c>
      <c r="G332" s="145"/>
      <c r="H332" s="145"/>
      <c r="I332" s="146"/>
    </row>
    <row r="333" spans="2:9" x14ac:dyDescent="0.25">
      <c r="B333" s="667"/>
      <c r="C333" s="668"/>
      <c r="D333" s="686" t="s">
        <v>204</v>
      </c>
      <c r="E333" s="687"/>
      <c r="F333" s="147"/>
      <c r="G333" s="114"/>
      <c r="H333" s="106">
        <f>H320</f>
        <v>17.676717614689657</v>
      </c>
      <c r="I333" s="107">
        <f>F332*H333</f>
        <v>1767.6717614689658</v>
      </c>
    </row>
    <row r="334" spans="2:9" ht="24" customHeight="1" x14ac:dyDescent="0.25">
      <c r="B334" s="667"/>
      <c r="C334" s="668"/>
      <c r="D334" s="698" t="s">
        <v>211</v>
      </c>
      <c r="E334" s="699"/>
      <c r="F334" s="148"/>
      <c r="G334" s="114"/>
      <c r="H334" s="106">
        <f>2250/12/F332</f>
        <v>1.875</v>
      </c>
      <c r="I334" s="107">
        <f>F332*H334</f>
        <v>187.5</v>
      </c>
    </row>
    <row r="335" spans="2:9" ht="24.75" customHeight="1" x14ac:dyDescent="0.25">
      <c r="B335" s="667"/>
      <c r="C335" s="668"/>
      <c r="D335" s="700" t="s">
        <v>344</v>
      </c>
      <c r="E335" s="687"/>
      <c r="F335" s="148"/>
      <c r="G335" s="172">
        <v>10</v>
      </c>
      <c r="H335" s="173">
        <v>1.56</v>
      </c>
      <c r="I335" s="116">
        <f>F332*G335*H335</f>
        <v>1560</v>
      </c>
    </row>
    <row r="336" spans="2:9" ht="15.75" thickBot="1" x14ac:dyDescent="0.3">
      <c r="B336" s="667"/>
      <c r="C336" s="668"/>
      <c r="D336" s="686" t="s">
        <v>164</v>
      </c>
      <c r="E336" s="687"/>
      <c r="F336" s="149"/>
      <c r="G336" s="114"/>
      <c r="H336" s="114"/>
      <c r="I336" s="113">
        <f>F330/F331</f>
        <v>781.25</v>
      </c>
    </row>
    <row r="337" spans="2:9" ht="15.75" thickTop="1" x14ac:dyDescent="0.25">
      <c r="B337" s="667"/>
      <c r="C337" s="668"/>
      <c r="D337" s="669" t="s">
        <v>158</v>
      </c>
      <c r="E337" s="670"/>
      <c r="F337" s="148"/>
      <c r="G337" s="114"/>
      <c r="H337" s="114"/>
      <c r="I337" s="150">
        <f>SUM(I333:I336)</f>
        <v>4296.421761468966</v>
      </c>
    </row>
    <row r="338" spans="2:9" ht="15.75" thickBot="1" x14ac:dyDescent="0.3">
      <c r="B338" s="671"/>
      <c r="C338" s="672"/>
      <c r="D338" s="673" t="s">
        <v>207</v>
      </c>
      <c r="E338" s="674"/>
      <c r="F338" s="151"/>
      <c r="G338" s="152"/>
      <c r="H338" s="153"/>
      <c r="I338" s="109">
        <f>(I337/F332)*0.05</f>
        <v>2.1482108807344829</v>
      </c>
    </row>
    <row r="339" spans="2:9" ht="15.75" thickBot="1" x14ac:dyDescent="0.3">
      <c r="B339" s="675"/>
      <c r="C339" s="676"/>
      <c r="D339" s="677" t="s">
        <v>40</v>
      </c>
      <c r="E339" s="678"/>
      <c r="F339" s="154"/>
      <c r="G339" s="123"/>
      <c r="H339" s="155"/>
      <c r="I339" s="125">
        <f>(I337/F332)+I338</f>
        <v>45.11242849542414</v>
      </c>
    </row>
    <row r="340" spans="2:9" ht="15.75" thickBot="1" x14ac:dyDescent="0.3">
      <c r="B340" s="126"/>
      <c r="C340" s="126"/>
      <c r="D340" s="127"/>
      <c r="E340" s="127"/>
      <c r="F340" s="156"/>
      <c r="G340" s="128"/>
      <c r="H340" s="128"/>
      <c r="I340" s="130"/>
    </row>
    <row r="341" spans="2:9" ht="15.75" thickBot="1" x14ac:dyDescent="0.3">
      <c r="B341" s="139" t="s">
        <v>6</v>
      </c>
      <c r="C341" s="679" t="s">
        <v>3</v>
      </c>
      <c r="D341" s="680"/>
      <c r="E341" s="680"/>
      <c r="F341" s="680"/>
      <c r="G341" s="680"/>
      <c r="H341" s="680"/>
      <c r="I341" s="681"/>
    </row>
    <row r="342" spans="2:9" ht="23.25" thickBot="1" x14ac:dyDescent="0.3">
      <c r="B342" s="682" t="s">
        <v>36</v>
      </c>
      <c r="C342" s="683"/>
      <c r="D342" s="692" t="s">
        <v>37</v>
      </c>
      <c r="E342" s="693"/>
      <c r="F342" s="140" t="s">
        <v>38</v>
      </c>
      <c r="G342" s="100" t="s">
        <v>39</v>
      </c>
      <c r="H342" s="100" t="s">
        <v>40</v>
      </c>
      <c r="I342" s="101" t="s">
        <v>41</v>
      </c>
    </row>
    <row r="343" spans="2:9" x14ac:dyDescent="0.25">
      <c r="B343" s="684" t="s">
        <v>86</v>
      </c>
      <c r="C343" s="685"/>
      <c r="D343" s="694" t="str">
        <f>CENIK_št_1!B78</f>
        <v>Traktor [ 70 kW - 90 kW]</v>
      </c>
      <c r="E343" s="695"/>
      <c r="F343" s="141">
        <v>80000</v>
      </c>
      <c r="G343" s="142"/>
      <c r="H343" s="142"/>
      <c r="I343" s="143"/>
    </row>
    <row r="344" spans="2:9" ht="15" customHeight="1" x14ac:dyDescent="0.25">
      <c r="B344" s="104"/>
      <c r="C344" s="105"/>
      <c r="D344" s="735" t="s">
        <v>213</v>
      </c>
      <c r="E344" s="697"/>
      <c r="F344" s="144">
        <v>96</v>
      </c>
      <c r="G344" s="145"/>
      <c r="H344" s="145"/>
      <c r="I344" s="146"/>
    </row>
    <row r="345" spans="2:9" x14ac:dyDescent="0.25">
      <c r="B345" s="104"/>
      <c r="C345" s="105"/>
      <c r="D345" s="696" t="s">
        <v>208</v>
      </c>
      <c r="E345" s="697"/>
      <c r="F345" s="144">
        <v>100</v>
      </c>
      <c r="G345" s="145"/>
      <c r="H345" s="145"/>
      <c r="I345" s="146"/>
    </row>
    <row r="346" spans="2:9" x14ac:dyDescent="0.25">
      <c r="B346" s="667"/>
      <c r="C346" s="668"/>
      <c r="D346" s="686" t="s">
        <v>204</v>
      </c>
      <c r="E346" s="687"/>
      <c r="F346" s="147"/>
      <c r="G346" s="114"/>
      <c r="H346" s="106">
        <f>H333</f>
        <v>17.676717614689657</v>
      </c>
      <c r="I346" s="107">
        <f>F345*H346</f>
        <v>1767.6717614689658</v>
      </c>
    </row>
    <row r="347" spans="2:9" ht="24.75" customHeight="1" x14ac:dyDescent="0.25">
      <c r="B347" s="667"/>
      <c r="C347" s="668"/>
      <c r="D347" s="698" t="s">
        <v>211</v>
      </c>
      <c r="E347" s="699"/>
      <c r="F347" s="148"/>
      <c r="G347" s="114"/>
      <c r="H347" s="106">
        <f>2500/12/F345</f>
        <v>2.0833333333333335</v>
      </c>
      <c r="I347" s="107">
        <f>F345*H347</f>
        <v>208.33333333333334</v>
      </c>
    </row>
    <row r="348" spans="2:9" ht="24.75" customHeight="1" x14ac:dyDescent="0.25">
      <c r="B348" s="667"/>
      <c r="C348" s="668"/>
      <c r="D348" s="700" t="s">
        <v>344</v>
      </c>
      <c r="E348" s="687"/>
      <c r="F348" s="148"/>
      <c r="G348" s="114">
        <v>12</v>
      </c>
      <c r="H348" s="106">
        <v>1.56</v>
      </c>
      <c r="I348" s="116">
        <f>F345*G348*H348</f>
        <v>1872</v>
      </c>
    </row>
    <row r="349" spans="2:9" ht="15.75" thickBot="1" x14ac:dyDescent="0.3">
      <c r="B349" s="667"/>
      <c r="C349" s="668"/>
      <c r="D349" s="686" t="s">
        <v>164</v>
      </c>
      <c r="E349" s="687"/>
      <c r="F349" s="149"/>
      <c r="G349" s="114"/>
      <c r="H349" s="114"/>
      <c r="I349" s="113">
        <f>F343/F344</f>
        <v>833.33333333333337</v>
      </c>
    </row>
    <row r="350" spans="2:9" ht="15.75" thickTop="1" x14ac:dyDescent="0.25">
      <c r="B350" s="667"/>
      <c r="C350" s="668"/>
      <c r="D350" s="669" t="s">
        <v>158</v>
      </c>
      <c r="E350" s="670"/>
      <c r="F350" s="148"/>
      <c r="G350" s="114"/>
      <c r="H350" s="114"/>
      <c r="I350" s="150">
        <f>SUM(I346:I349)</f>
        <v>4681.3384281356321</v>
      </c>
    </row>
    <row r="351" spans="2:9" ht="15.75" thickBot="1" x14ac:dyDescent="0.3">
      <c r="B351" s="671"/>
      <c r="C351" s="672"/>
      <c r="D351" s="673" t="s">
        <v>207</v>
      </c>
      <c r="E351" s="674"/>
      <c r="F351" s="151"/>
      <c r="G351" s="152"/>
      <c r="H351" s="153"/>
      <c r="I351" s="109">
        <f>(I350/F345)*0.05</f>
        <v>2.340669214067816</v>
      </c>
    </row>
    <row r="352" spans="2:9" ht="15.75" thickBot="1" x14ac:dyDescent="0.3">
      <c r="B352" s="675"/>
      <c r="C352" s="676"/>
      <c r="D352" s="677" t="s">
        <v>40</v>
      </c>
      <c r="E352" s="678"/>
      <c r="F352" s="154"/>
      <c r="G352" s="123"/>
      <c r="H352" s="155"/>
      <c r="I352" s="125">
        <f>(I350/F345)+I351</f>
        <v>49.154053495424137</v>
      </c>
    </row>
    <row r="353" spans="1:9" ht="15.75" thickBot="1" x14ac:dyDescent="0.3">
      <c r="B353" s="126"/>
      <c r="C353" s="126"/>
      <c r="D353" s="127"/>
      <c r="E353" s="127"/>
      <c r="F353" s="156"/>
      <c r="G353" s="128"/>
      <c r="H353" s="128"/>
      <c r="I353" s="130"/>
    </row>
    <row r="354" spans="1:9" ht="15.75" thickBot="1" x14ac:dyDescent="0.3">
      <c r="B354" s="139" t="s">
        <v>6</v>
      </c>
      <c r="C354" s="679" t="s">
        <v>3</v>
      </c>
      <c r="D354" s="680"/>
      <c r="E354" s="680"/>
      <c r="F354" s="680"/>
      <c r="G354" s="680"/>
      <c r="H354" s="680"/>
      <c r="I354" s="681"/>
    </row>
    <row r="355" spans="1:9" ht="23.25" thickBot="1" x14ac:dyDescent="0.3">
      <c r="B355" s="682" t="s">
        <v>36</v>
      </c>
      <c r="C355" s="683"/>
      <c r="D355" s="692" t="s">
        <v>37</v>
      </c>
      <c r="E355" s="693"/>
      <c r="F355" s="140" t="s">
        <v>38</v>
      </c>
      <c r="G355" s="100" t="s">
        <v>39</v>
      </c>
      <c r="H355" s="100" t="s">
        <v>40</v>
      </c>
      <c r="I355" s="101" t="s">
        <v>41</v>
      </c>
    </row>
    <row r="356" spans="1:9" x14ac:dyDescent="0.25">
      <c r="B356" s="684" t="s">
        <v>87</v>
      </c>
      <c r="C356" s="685"/>
      <c r="D356" s="694" t="str">
        <f>CENIK_št_1!B79</f>
        <v>Traktor [nad 90 kW]</v>
      </c>
      <c r="E356" s="695"/>
      <c r="F356" s="141">
        <v>90000</v>
      </c>
      <c r="G356" s="142"/>
      <c r="H356" s="142"/>
      <c r="I356" s="143"/>
    </row>
    <row r="357" spans="1:9" x14ac:dyDescent="0.25">
      <c r="B357" s="104"/>
      <c r="C357" s="105"/>
      <c r="D357" s="696" t="s">
        <v>209</v>
      </c>
      <c r="E357" s="697"/>
      <c r="F357" s="144">
        <v>96</v>
      </c>
      <c r="G357" s="145"/>
      <c r="H357" s="145"/>
      <c r="I357" s="146"/>
    </row>
    <row r="358" spans="1:9" x14ac:dyDescent="0.25">
      <c r="B358" s="104"/>
      <c r="C358" s="105"/>
      <c r="D358" s="696" t="s">
        <v>208</v>
      </c>
      <c r="E358" s="697"/>
      <c r="F358" s="144">
        <v>100</v>
      </c>
      <c r="G358" s="145"/>
      <c r="H358" s="145"/>
      <c r="I358" s="146"/>
    </row>
    <row r="359" spans="1:9" x14ac:dyDescent="0.25">
      <c r="B359" s="667"/>
      <c r="C359" s="668"/>
      <c r="D359" s="686" t="s">
        <v>204</v>
      </c>
      <c r="E359" s="687"/>
      <c r="F359" s="147"/>
      <c r="G359" s="114"/>
      <c r="H359" s="106">
        <f>H55</f>
        <v>20.956585823754789</v>
      </c>
      <c r="I359" s="107">
        <f>F358*H359</f>
        <v>2095.658582375479</v>
      </c>
    </row>
    <row r="360" spans="1:9" x14ac:dyDescent="0.25">
      <c r="B360" s="667"/>
      <c r="C360" s="668"/>
      <c r="D360" s="698" t="s">
        <v>211</v>
      </c>
      <c r="E360" s="699"/>
      <c r="F360" s="148"/>
      <c r="G360" s="114"/>
      <c r="H360" s="106">
        <v>2.2000000000000002</v>
      </c>
      <c r="I360" s="107">
        <f>F358*H360</f>
        <v>220.00000000000003</v>
      </c>
    </row>
    <row r="361" spans="1:9" x14ac:dyDescent="0.25">
      <c r="B361" s="667"/>
      <c r="C361" s="668"/>
      <c r="D361" s="700" t="s">
        <v>344</v>
      </c>
      <c r="E361" s="687"/>
      <c r="F361" s="148"/>
      <c r="G361" s="114">
        <v>14</v>
      </c>
      <c r="H361" s="106">
        <v>1.56</v>
      </c>
      <c r="I361" s="116">
        <f>F358*G361*H361</f>
        <v>2184</v>
      </c>
    </row>
    <row r="362" spans="1:9" ht="15.75" thickBot="1" x14ac:dyDescent="0.3">
      <c r="B362" s="667"/>
      <c r="C362" s="668"/>
      <c r="D362" s="686" t="s">
        <v>164</v>
      </c>
      <c r="E362" s="687"/>
      <c r="F362" s="149"/>
      <c r="G362" s="114"/>
      <c r="H362" s="114"/>
      <c r="I362" s="113">
        <f>F356/F357</f>
        <v>937.5</v>
      </c>
    </row>
    <row r="363" spans="1:9" ht="15.75" thickTop="1" x14ac:dyDescent="0.25">
      <c r="B363" s="667"/>
      <c r="C363" s="668"/>
      <c r="D363" s="669" t="s">
        <v>158</v>
      </c>
      <c r="E363" s="670"/>
      <c r="F363" s="148"/>
      <c r="G363" s="114"/>
      <c r="H363" s="114"/>
      <c r="I363" s="150">
        <f>SUM(I359:I362)</f>
        <v>5437.1585823754795</v>
      </c>
    </row>
    <row r="364" spans="1:9" ht="15.75" thickBot="1" x14ac:dyDescent="0.3">
      <c r="B364" s="671"/>
      <c r="C364" s="672"/>
      <c r="D364" s="673" t="s">
        <v>207</v>
      </c>
      <c r="E364" s="674"/>
      <c r="F364" s="151"/>
      <c r="G364" s="152"/>
      <c r="H364" s="153"/>
      <c r="I364" s="109">
        <f>(I363/F358)*0.05</f>
        <v>2.7185792911877398</v>
      </c>
    </row>
    <row r="365" spans="1:9" ht="15.75" thickBot="1" x14ac:dyDescent="0.3">
      <c r="B365" s="675"/>
      <c r="C365" s="676"/>
      <c r="D365" s="677" t="s">
        <v>40</v>
      </c>
      <c r="E365" s="678"/>
      <c r="F365" s="154"/>
      <c r="G365" s="123"/>
      <c r="H365" s="155"/>
      <c r="I365" s="125">
        <f>(I363/F358)+I364</f>
        <v>57.090165114942529</v>
      </c>
    </row>
    <row r="366" spans="1:9" ht="15.75" thickBot="1" x14ac:dyDescent="0.3">
      <c r="A366" s="138"/>
      <c r="B366" s="333"/>
      <c r="C366" s="333"/>
      <c r="D366" s="334"/>
      <c r="E366" s="334"/>
      <c r="F366" s="335"/>
      <c r="G366" s="336"/>
      <c r="H366" s="336"/>
      <c r="I366" s="337"/>
    </row>
    <row r="367" spans="1:9" ht="16.5" thickTop="1" thickBot="1" x14ac:dyDescent="0.3"/>
    <row r="368" spans="1:9" ht="27" customHeight="1" thickBot="1" x14ac:dyDescent="0.3">
      <c r="B368" s="139" t="s">
        <v>9</v>
      </c>
      <c r="C368" s="679" t="s">
        <v>7</v>
      </c>
      <c r="D368" s="680"/>
      <c r="E368" s="680"/>
      <c r="F368" s="680"/>
      <c r="G368" s="680"/>
      <c r="H368" s="680"/>
      <c r="I368" s="681"/>
    </row>
    <row r="369" spans="2:9" ht="23.25" thickBot="1" x14ac:dyDescent="0.3">
      <c r="B369" s="682" t="s">
        <v>36</v>
      </c>
      <c r="C369" s="683"/>
      <c r="D369" s="692" t="s">
        <v>37</v>
      </c>
      <c r="E369" s="693"/>
      <c r="F369" s="140" t="s">
        <v>38</v>
      </c>
      <c r="G369" s="100" t="s">
        <v>39</v>
      </c>
      <c r="H369" s="100" t="s">
        <v>40</v>
      </c>
      <c r="I369" s="101" t="s">
        <v>41</v>
      </c>
    </row>
    <row r="370" spans="2:9" x14ac:dyDescent="0.25">
      <c r="B370" s="684" t="s">
        <v>51</v>
      </c>
      <c r="C370" s="685"/>
      <c r="D370" s="694" t="str">
        <f>CENIK_št_1!B86</f>
        <v xml:space="preserve">Nakladalec z žlico do 1 m3 </v>
      </c>
      <c r="E370" s="695"/>
      <c r="F370" s="141">
        <v>95000</v>
      </c>
      <c r="G370" s="142"/>
      <c r="H370" s="142"/>
      <c r="I370" s="143"/>
    </row>
    <row r="371" spans="2:9" ht="15" customHeight="1" x14ac:dyDescent="0.25">
      <c r="B371" s="104"/>
      <c r="C371" s="105"/>
      <c r="D371" s="696" t="s">
        <v>209</v>
      </c>
      <c r="E371" s="697"/>
      <c r="F371" s="144">
        <v>96</v>
      </c>
      <c r="G371" s="145"/>
      <c r="H371" s="145"/>
      <c r="I371" s="146"/>
    </row>
    <row r="372" spans="2:9" x14ac:dyDescent="0.25">
      <c r="B372" s="104"/>
      <c r="C372" s="105"/>
      <c r="D372" s="696" t="s">
        <v>208</v>
      </c>
      <c r="E372" s="697"/>
      <c r="F372" s="144">
        <v>100</v>
      </c>
      <c r="G372" s="145"/>
      <c r="H372" s="145"/>
      <c r="I372" s="146"/>
    </row>
    <row r="373" spans="2:9" x14ac:dyDescent="0.25">
      <c r="B373" s="667"/>
      <c r="C373" s="668"/>
      <c r="D373" s="686" t="s">
        <v>204</v>
      </c>
      <c r="E373" s="687"/>
      <c r="F373" s="147" t="s">
        <v>213</v>
      </c>
      <c r="G373" s="114"/>
      <c r="H373" s="106">
        <f>H346</f>
        <v>17.676717614689657</v>
      </c>
      <c r="I373" s="107">
        <f>F372*H373</f>
        <v>1767.6717614689658</v>
      </c>
    </row>
    <row r="374" spans="2:9" ht="24" customHeight="1" x14ac:dyDescent="0.25">
      <c r="B374" s="667"/>
      <c r="C374" s="668"/>
      <c r="D374" s="698" t="s">
        <v>212</v>
      </c>
      <c r="E374" s="699"/>
      <c r="F374" s="148"/>
      <c r="G374" s="114"/>
      <c r="H374" s="106">
        <f>2250/12/F372</f>
        <v>1.875</v>
      </c>
      <c r="I374" s="107">
        <f>F372*H374</f>
        <v>187.5</v>
      </c>
    </row>
    <row r="375" spans="2:9" ht="24.75" customHeight="1" x14ac:dyDescent="0.25">
      <c r="B375" s="667"/>
      <c r="C375" s="668"/>
      <c r="D375" s="700" t="s">
        <v>344</v>
      </c>
      <c r="E375" s="687"/>
      <c r="F375" s="148"/>
      <c r="G375" s="114">
        <v>8.5</v>
      </c>
      <c r="H375" s="106">
        <v>1.56</v>
      </c>
      <c r="I375" s="116">
        <f>F372*G375*H375</f>
        <v>1326</v>
      </c>
    </row>
    <row r="376" spans="2:9" ht="15.75" thickBot="1" x14ac:dyDescent="0.3">
      <c r="B376" s="667"/>
      <c r="C376" s="668"/>
      <c r="D376" s="686" t="s">
        <v>164</v>
      </c>
      <c r="E376" s="687"/>
      <c r="F376" s="149"/>
      <c r="G376" s="114"/>
      <c r="H376" s="114"/>
      <c r="I376" s="113">
        <f>F370/F371</f>
        <v>989.58333333333337</v>
      </c>
    </row>
    <row r="377" spans="2:9" ht="15.75" thickTop="1" x14ac:dyDescent="0.25">
      <c r="B377" s="667"/>
      <c r="C377" s="668"/>
      <c r="D377" s="669" t="s">
        <v>158</v>
      </c>
      <c r="E377" s="670"/>
      <c r="F377" s="148"/>
      <c r="G377" s="114"/>
      <c r="H377" s="114"/>
      <c r="I377" s="150">
        <f>SUM(I373:I376)</f>
        <v>4270.755094802299</v>
      </c>
    </row>
    <row r="378" spans="2:9" ht="15.75" thickBot="1" x14ac:dyDescent="0.3">
      <c r="B378" s="671"/>
      <c r="C378" s="672"/>
      <c r="D378" s="673" t="s">
        <v>207</v>
      </c>
      <c r="E378" s="674"/>
      <c r="F378" s="151"/>
      <c r="G378" s="152"/>
      <c r="H378" s="153"/>
      <c r="I378" s="109">
        <f>(I377/F372)*0.05</f>
        <v>2.1353775474011498</v>
      </c>
    </row>
    <row r="379" spans="2:9" ht="15.75" thickBot="1" x14ac:dyDescent="0.3">
      <c r="B379" s="675"/>
      <c r="C379" s="676"/>
      <c r="D379" s="677" t="s">
        <v>40</v>
      </c>
      <c r="E379" s="678"/>
      <c r="F379" s="154"/>
      <c r="G379" s="123"/>
      <c r="H379" s="155"/>
      <c r="I379" s="125">
        <f>(I377/F372)+I378</f>
        <v>44.84292849542414</v>
      </c>
    </row>
    <row r="380" spans="2:9" ht="15.75" thickBot="1" x14ac:dyDescent="0.3"/>
    <row r="381" spans="2:9" ht="24" customHeight="1" thickBot="1" x14ac:dyDescent="0.3">
      <c r="B381" s="139" t="s">
        <v>9</v>
      </c>
      <c r="C381" s="679" t="s">
        <v>7</v>
      </c>
      <c r="D381" s="680"/>
      <c r="E381" s="680"/>
      <c r="F381" s="680"/>
      <c r="G381" s="680"/>
      <c r="H381" s="680"/>
      <c r="I381" s="681"/>
    </row>
    <row r="382" spans="2:9" ht="23.25" thickBot="1" x14ac:dyDescent="0.3">
      <c r="B382" s="682" t="s">
        <v>36</v>
      </c>
      <c r="C382" s="683"/>
      <c r="D382" s="692" t="s">
        <v>37</v>
      </c>
      <c r="E382" s="693"/>
      <c r="F382" s="140" t="s">
        <v>38</v>
      </c>
      <c r="G382" s="100" t="s">
        <v>39</v>
      </c>
      <c r="H382" s="100" t="s">
        <v>40</v>
      </c>
      <c r="I382" s="101" t="s">
        <v>41</v>
      </c>
    </row>
    <row r="383" spans="2:9" x14ac:dyDescent="0.25">
      <c r="B383" s="684" t="s">
        <v>52</v>
      </c>
      <c r="C383" s="685"/>
      <c r="D383" s="694" t="str">
        <f>CENIK_št_1!B87</f>
        <v>Vibracijski valjar 1,5 t</v>
      </c>
      <c r="E383" s="695"/>
      <c r="F383" s="141">
        <v>25000</v>
      </c>
      <c r="G383" s="142"/>
      <c r="H383" s="142"/>
      <c r="I383" s="143"/>
    </row>
    <row r="384" spans="2:9" x14ac:dyDescent="0.25">
      <c r="B384" s="104"/>
      <c r="C384" s="105"/>
      <c r="D384" s="696" t="s">
        <v>209</v>
      </c>
      <c r="E384" s="697"/>
      <c r="F384" s="144">
        <v>96</v>
      </c>
      <c r="G384" s="145"/>
      <c r="H384" s="145"/>
      <c r="I384" s="146"/>
    </row>
    <row r="385" spans="2:9" x14ac:dyDescent="0.25">
      <c r="B385" s="104"/>
      <c r="C385" s="105"/>
      <c r="D385" s="696" t="s">
        <v>208</v>
      </c>
      <c r="E385" s="697"/>
      <c r="F385" s="144">
        <v>75</v>
      </c>
      <c r="G385" s="145"/>
      <c r="H385" s="145"/>
      <c r="I385" s="146"/>
    </row>
    <row r="386" spans="2:9" x14ac:dyDescent="0.25">
      <c r="B386" s="667"/>
      <c r="C386" s="668"/>
      <c r="D386" s="686" t="s">
        <v>204</v>
      </c>
      <c r="E386" s="687"/>
      <c r="F386" s="147" t="s">
        <v>213</v>
      </c>
      <c r="G386" s="114"/>
      <c r="H386" s="106">
        <f>H373</f>
        <v>17.676717614689657</v>
      </c>
      <c r="I386" s="107">
        <f>F385*H386</f>
        <v>1325.7538211017243</v>
      </c>
    </row>
    <row r="387" spans="2:9" ht="27" customHeight="1" x14ac:dyDescent="0.25">
      <c r="B387" s="667"/>
      <c r="C387" s="668"/>
      <c r="D387" s="698" t="s">
        <v>212</v>
      </c>
      <c r="E387" s="699"/>
      <c r="F387" s="148"/>
      <c r="G387" s="114"/>
      <c r="H387" s="106">
        <f>550/12/F385</f>
        <v>0.61111111111111116</v>
      </c>
      <c r="I387" s="107">
        <f>F385*H387</f>
        <v>45.833333333333336</v>
      </c>
    </row>
    <row r="388" spans="2:9" ht="24" customHeight="1" x14ac:dyDescent="0.25">
      <c r="B388" s="667"/>
      <c r="C388" s="668"/>
      <c r="D388" s="700" t="s">
        <v>344</v>
      </c>
      <c r="E388" s="687"/>
      <c r="F388" s="148"/>
      <c r="G388" s="114">
        <v>7.2</v>
      </c>
      <c r="H388" s="106">
        <v>1.56</v>
      </c>
      <c r="I388" s="116">
        <f>F385*G388*H388</f>
        <v>842.4</v>
      </c>
    </row>
    <row r="389" spans="2:9" ht="15.75" thickBot="1" x14ac:dyDescent="0.3">
      <c r="B389" s="667"/>
      <c r="C389" s="668"/>
      <c r="D389" s="686" t="s">
        <v>164</v>
      </c>
      <c r="E389" s="687"/>
      <c r="F389" s="149"/>
      <c r="G389" s="114"/>
      <c r="H389" s="114"/>
      <c r="I389" s="113">
        <f>F383/F384</f>
        <v>260.41666666666669</v>
      </c>
    </row>
    <row r="390" spans="2:9" ht="15.75" thickTop="1" x14ac:dyDescent="0.25">
      <c r="B390" s="667"/>
      <c r="C390" s="668"/>
      <c r="D390" s="669" t="s">
        <v>158</v>
      </c>
      <c r="E390" s="670"/>
      <c r="F390" s="148"/>
      <c r="G390" s="114"/>
      <c r="H390" s="114"/>
      <c r="I390" s="150">
        <f>SUM(I386:I389)</f>
        <v>2474.4038211017241</v>
      </c>
    </row>
    <row r="391" spans="2:9" ht="18.75" customHeight="1" thickBot="1" x14ac:dyDescent="0.3">
      <c r="B391" s="671"/>
      <c r="C391" s="672"/>
      <c r="D391" s="673" t="s">
        <v>207</v>
      </c>
      <c r="E391" s="674"/>
      <c r="F391" s="151"/>
      <c r="G391" s="152"/>
      <c r="H391" s="153"/>
      <c r="I391" s="109">
        <f>(I390/F385)*0.05</f>
        <v>1.6496025474011493</v>
      </c>
    </row>
    <row r="392" spans="2:9" ht="15.75" thickBot="1" x14ac:dyDescent="0.3">
      <c r="B392" s="675"/>
      <c r="C392" s="676"/>
      <c r="D392" s="677" t="s">
        <v>40</v>
      </c>
      <c r="E392" s="678"/>
      <c r="F392" s="154"/>
      <c r="G392" s="123"/>
      <c r="H392" s="155"/>
      <c r="I392" s="125">
        <f>(I390/F385)+I391</f>
        <v>34.641653495424137</v>
      </c>
    </row>
    <row r="394" spans="2:9" ht="15.75" thickBot="1" x14ac:dyDescent="0.3">
      <c r="B394" s="126"/>
      <c r="C394" s="126"/>
      <c r="D394" s="127"/>
      <c r="E394" s="127"/>
      <c r="F394" s="156"/>
      <c r="G394" s="128"/>
      <c r="H394" s="128"/>
      <c r="I394" s="130"/>
    </row>
    <row r="395" spans="2:9" ht="15.75" thickBot="1" x14ac:dyDescent="0.3">
      <c r="B395" s="139" t="s">
        <v>9</v>
      </c>
      <c r="C395" s="679" t="s">
        <v>7</v>
      </c>
      <c r="D395" s="680"/>
      <c r="E395" s="680"/>
      <c r="F395" s="680"/>
      <c r="G395" s="680"/>
      <c r="H395" s="680"/>
      <c r="I395" s="681"/>
    </row>
    <row r="396" spans="2:9" ht="23.25" thickBot="1" x14ac:dyDescent="0.3">
      <c r="B396" s="682" t="s">
        <v>36</v>
      </c>
      <c r="C396" s="683"/>
      <c r="D396" s="692" t="s">
        <v>37</v>
      </c>
      <c r="E396" s="693"/>
      <c r="F396" s="140" t="s">
        <v>38</v>
      </c>
      <c r="G396" s="100" t="s">
        <v>39</v>
      </c>
      <c r="H396" s="100" t="s">
        <v>40</v>
      </c>
      <c r="I396" s="101" t="s">
        <v>41</v>
      </c>
    </row>
    <row r="397" spans="2:9" x14ac:dyDescent="0.25">
      <c r="B397" s="684" t="s">
        <v>53</v>
      </c>
      <c r="C397" s="685"/>
      <c r="D397" s="694" t="str">
        <f>CENIK_št_1!B88</f>
        <v>Stroj za pometanje cest</v>
      </c>
      <c r="E397" s="695"/>
      <c r="F397" s="141">
        <v>120000</v>
      </c>
      <c r="G397" s="142"/>
      <c r="H397" s="142"/>
      <c r="I397" s="143"/>
    </row>
    <row r="398" spans="2:9" x14ac:dyDescent="0.25">
      <c r="B398" s="104"/>
      <c r="C398" s="105"/>
      <c r="D398" s="696" t="s">
        <v>209</v>
      </c>
      <c r="E398" s="697"/>
      <c r="F398" s="144">
        <v>96</v>
      </c>
      <c r="G398" s="145"/>
      <c r="H398" s="145"/>
      <c r="I398" s="146"/>
    </row>
    <row r="399" spans="2:9" x14ac:dyDescent="0.25">
      <c r="B399" s="104"/>
      <c r="C399" s="105"/>
      <c r="D399" s="696" t="s">
        <v>208</v>
      </c>
      <c r="E399" s="697"/>
      <c r="F399" s="144">
        <v>80</v>
      </c>
      <c r="G399" s="145"/>
      <c r="H399" s="145"/>
      <c r="I399" s="146"/>
    </row>
    <row r="400" spans="2:9" x14ac:dyDescent="0.25">
      <c r="B400" s="667"/>
      <c r="C400" s="668"/>
      <c r="D400" s="686" t="s">
        <v>204</v>
      </c>
      <c r="E400" s="687"/>
      <c r="F400" s="147" t="s">
        <v>213</v>
      </c>
      <c r="G400" s="114"/>
      <c r="H400" s="24">
        <f>H386</f>
        <v>17.676717614689657</v>
      </c>
      <c r="I400" s="107">
        <f>F399*H400</f>
        <v>1414.1374091751727</v>
      </c>
    </row>
    <row r="401" spans="2:9" ht="24" customHeight="1" x14ac:dyDescent="0.25">
      <c r="B401" s="667"/>
      <c r="C401" s="668"/>
      <c r="D401" s="698" t="s">
        <v>212</v>
      </c>
      <c r="E401" s="699"/>
      <c r="F401" s="148"/>
      <c r="G401" s="114"/>
      <c r="H401" s="106">
        <f>1850/12/F399</f>
        <v>1.9270833333333333</v>
      </c>
      <c r="I401" s="107">
        <f>F399*H401</f>
        <v>154.16666666666666</v>
      </c>
    </row>
    <row r="402" spans="2:9" ht="24" customHeight="1" x14ac:dyDescent="0.25">
      <c r="B402" s="667"/>
      <c r="C402" s="668"/>
      <c r="D402" s="700" t="s">
        <v>344</v>
      </c>
      <c r="E402" s="687"/>
      <c r="F402" s="148"/>
      <c r="G402" s="114">
        <v>25</v>
      </c>
      <c r="H402" s="106">
        <v>1.56</v>
      </c>
      <c r="I402" s="116">
        <f>F399*G402*H402</f>
        <v>3120</v>
      </c>
    </row>
    <row r="403" spans="2:9" ht="15.75" thickBot="1" x14ac:dyDescent="0.3">
      <c r="B403" s="667"/>
      <c r="C403" s="668"/>
      <c r="D403" s="686" t="s">
        <v>164</v>
      </c>
      <c r="E403" s="687"/>
      <c r="F403" s="149"/>
      <c r="G403" s="114"/>
      <c r="H403" s="114"/>
      <c r="I403" s="113">
        <f>F397/F398</f>
        <v>1250</v>
      </c>
    </row>
    <row r="404" spans="2:9" ht="15.75" thickTop="1" x14ac:dyDescent="0.25">
      <c r="B404" s="667"/>
      <c r="C404" s="668"/>
      <c r="D404" s="669" t="s">
        <v>158</v>
      </c>
      <c r="E404" s="670"/>
      <c r="F404" s="148"/>
      <c r="G404" s="114"/>
      <c r="H404" s="114"/>
      <c r="I404" s="150">
        <f>SUM(I400:I403)</f>
        <v>5938.3040758418392</v>
      </c>
    </row>
    <row r="405" spans="2:9" ht="20.25" customHeight="1" thickBot="1" x14ac:dyDescent="0.3">
      <c r="B405" s="671"/>
      <c r="C405" s="672"/>
      <c r="D405" s="673" t="s">
        <v>207</v>
      </c>
      <c r="E405" s="674"/>
      <c r="F405" s="151"/>
      <c r="G405" s="152"/>
      <c r="H405" s="153"/>
      <c r="I405" s="109">
        <f>(I404/F399)*0.05</f>
        <v>3.7114400474011497</v>
      </c>
    </row>
    <row r="406" spans="2:9" ht="15.75" thickBot="1" x14ac:dyDescent="0.3">
      <c r="B406" s="675"/>
      <c r="C406" s="676"/>
      <c r="D406" s="677" t="s">
        <v>40</v>
      </c>
      <c r="E406" s="678"/>
      <c r="F406" s="154"/>
      <c r="G406" s="123"/>
      <c r="H406" s="155"/>
      <c r="I406" s="125">
        <f>(I404/F399)+I405</f>
        <v>77.940240995424148</v>
      </c>
    </row>
    <row r="407" spans="2:9" ht="15.75" thickBot="1" x14ac:dyDescent="0.3">
      <c r="B407" s="126"/>
      <c r="C407" s="126"/>
      <c r="D407" s="127"/>
      <c r="E407" s="127"/>
      <c r="F407" s="156"/>
      <c r="G407" s="128"/>
      <c r="H407" s="128"/>
      <c r="I407" s="130"/>
    </row>
    <row r="408" spans="2:9" ht="15.75" thickBot="1" x14ac:dyDescent="0.3">
      <c r="B408" s="139" t="s">
        <v>9</v>
      </c>
      <c r="C408" s="679" t="s">
        <v>7</v>
      </c>
      <c r="D408" s="680"/>
      <c r="E408" s="680"/>
      <c r="F408" s="680"/>
      <c r="G408" s="680"/>
      <c r="H408" s="680"/>
      <c r="I408" s="681"/>
    </row>
    <row r="409" spans="2:9" ht="23.25" thickBot="1" x14ac:dyDescent="0.3">
      <c r="B409" s="682" t="s">
        <v>36</v>
      </c>
      <c r="C409" s="683"/>
      <c r="D409" s="692" t="s">
        <v>37</v>
      </c>
      <c r="E409" s="693"/>
      <c r="F409" s="140" t="s">
        <v>38</v>
      </c>
      <c r="G409" s="100" t="s">
        <v>39</v>
      </c>
      <c r="H409" s="100" t="s">
        <v>40</v>
      </c>
      <c r="I409" s="101" t="s">
        <v>41</v>
      </c>
    </row>
    <row r="410" spans="2:9" x14ac:dyDescent="0.25">
      <c r="B410" s="684" t="s">
        <v>54</v>
      </c>
      <c r="C410" s="685"/>
      <c r="D410" s="694" t="str">
        <f>CENIK_št_1!B89</f>
        <v>Viličar 3 t</v>
      </c>
      <c r="E410" s="695"/>
      <c r="F410" s="141">
        <v>19000</v>
      </c>
      <c r="G410" s="142"/>
      <c r="H410" s="142"/>
      <c r="I410" s="143"/>
    </row>
    <row r="411" spans="2:9" x14ac:dyDescent="0.25">
      <c r="B411" s="104"/>
      <c r="C411" s="105"/>
      <c r="D411" s="696" t="s">
        <v>209</v>
      </c>
      <c r="E411" s="697"/>
      <c r="F411" s="144">
        <v>96</v>
      </c>
      <c r="G411" s="145"/>
      <c r="H411" s="145"/>
      <c r="I411" s="146"/>
    </row>
    <row r="412" spans="2:9" x14ac:dyDescent="0.25">
      <c r="B412" s="104"/>
      <c r="C412" s="105"/>
      <c r="D412" s="696" t="s">
        <v>208</v>
      </c>
      <c r="E412" s="697"/>
      <c r="F412" s="144">
        <v>27</v>
      </c>
      <c r="G412" s="145"/>
      <c r="H412" s="145"/>
      <c r="I412" s="146"/>
    </row>
    <row r="413" spans="2:9" x14ac:dyDescent="0.25">
      <c r="B413" s="667"/>
      <c r="C413" s="668"/>
      <c r="D413" s="686" t="s">
        <v>204</v>
      </c>
      <c r="E413" s="687"/>
      <c r="F413" s="147" t="s">
        <v>213</v>
      </c>
      <c r="G413" s="114"/>
      <c r="H413" s="106">
        <f>H400</f>
        <v>17.676717614689657</v>
      </c>
      <c r="I413" s="107">
        <f>F412*H413</f>
        <v>477.27137559662077</v>
      </c>
    </row>
    <row r="414" spans="2:9" ht="23.25" customHeight="1" x14ac:dyDescent="0.25">
      <c r="B414" s="667"/>
      <c r="C414" s="668"/>
      <c r="D414" s="698" t="s">
        <v>212</v>
      </c>
      <c r="E414" s="699"/>
      <c r="F414" s="148"/>
      <c r="G414" s="114"/>
      <c r="H414" s="106">
        <f>350/12/F412</f>
        <v>1.080246913580247</v>
      </c>
      <c r="I414" s="107">
        <f>F412*H414</f>
        <v>29.166666666666671</v>
      </c>
    </row>
    <row r="415" spans="2:9" ht="24" customHeight="1" x14ac:dyDescent="0.25">
      <c r="B415" s="667"/>
      <c r="C415" s="668"/>
      <c r="D415" s="700" t="s">
        <v>376</v>
      </c>
      <c r="E415" s="687"/>
      <c r="F415" s="148"/>
      <c r="G415" s="114">
        <v>4</v>
      </c>
      <c r="H415" s="106">
        <v>1.56</v>
      </c>
      <c r="I415" s="116">
        <f>F412*G415*H415</f>
        <v>168.48000000000002</v>
      </c>
    </row>
    <row r="416" spans="2:9" ht="15.75" thickBot="1" x14ac:dyDescent="0.3">
      <c r="B416" s="667"/>
      <c r="C416" s="668"/>
      <c r="D416" s="686" t="s">
        <v>164</v>
      </c>
      <c r="E416" s="687"/>
      <c r="F416" s="149"/>
      <c r="G416" s="114"/>
      <c r="H416" s="114"/>
      <c r="I416" s="113">
        <f>F410/F411</f>
        <v>197.91666666666666</v>
      </c>
    </row>
    <row r="417" spans="2:9" ht="15.75" thickTop="1" x14ac:dyDescent="0.25">
      <c r="B417" s="667"/>
      <c r="C417" s="668"/>
      <c r="D417" s="669" t="s">
        <v>158</v>
      </c>
      <c r="E417" s="670"/>
      <c r="F417" s="148"/>
      <c r="G417" s="114"/>
      <c r="H417" s="114"/>
      <c r="I417" s="150">
        <f>SUM(I413:I416)</f>
        <v>872.8347089299541</v>
      </c>
    </row>
    <row r="418" spans="2:9" ht="24" customHeight="1" thickBot="1" x14ac:dyDescent="0.3">
      <c r="B418" s="671"/>
      <c r="C418" s="672"/>
      <c r="D418" s="673" t="s">
        <v>207</v>
      </c>
      <c r="E418" s="674"/>
      <c r="F418" s="151"/>
      <c r="G418" s="152"/>
      <c r="H418" s="153"/>
      <c r="I418" s="109">
        <f>(I417/F412)*0.05</f>
        <v>1.6163605720925078</v>
      </c>
    </row>
    <row r="419" spans="2:9" ht="15.75" thickBot="1" x14ac:dyDescent="0.3">
      <c r="B419" s="675"/>
      <c r="C419" s="676"/>
      <c r="D419" s="677" t="s">
        <v>40</v>
      </c>
      <c r="E419" s="678"/>
      <c r="F419" s="154"/>
      <c r="G419" s="123"/>
      <c r="H419" s="155"/>
      <c r="I419" s="125">
        <f>(I417/F412)+I418</f>
        <v>33.943572013942664</v>
      </c>
    </row>
    <row r="420" spans="2:9" ht="15.75" thickBot="1" x14ac:dyDescent="0.3">
      <c r="B420" s="518"/>
      <c r="C420" s="518"/>
      <c r="D420" s="519"/>
      <c r="E420" s="519"/>
      <c r="F420" s="520"/>
      <c r="G420" s="521"/>
      <c r="H420" s="521"/>
      <c r="I420" s="522"/>
    </row>
    <row r="421" spans="2:9" ht="15.75" thickBot="1" x14ac:dyDescent="0.3">
      <c r="B421" s="139" t="s">
        <v>9</v>
      </c>
      <c r="C421" s="679" t="s">
        <v>7</v>
      </c>
      <c r="D421" s="680"/>
      <c r="E421" s="680"/>
      <c r="F421" s="680"/>
      <c r="G421" s="680"/>
      <c r="H421" s="680"/>
      <c r="I421" s="681"/>
    </row>
    <row r="422" spans="2:9" ht="23.25" thickBot="1" x14ac:dyDescent="0.3">
      <c r="B422" s="682" t="s">
        <v>36</v>
      </c>
      <c r="C422" s="683"/>
      <c r="D422" s="692" t="s">
        <v>37</v>
      </c>
      <c r="E422" s="693"/>
      <c r="F422" s="140" t="s">
        <v>38</v>
      </c>
      <c r="G422" s="100" t="s">
        <v>39</v>
      </c>
      <c r="H422" s="100" t="s">
        <v>40</v>
      </c>
      <c r="I422" s="101" t="s">
        <v>41</v>
      </c>
    </row>
    <row r="423" spans="2:9" ht="15" customHeight="1" x14ac:dyDescent="0.25">
      <c r="B423" s="684" t="s">
        <v>56</v>
      </c>
      <c r="C423" s="685"/>
      <c r="D423" s="694" t="str">
        <f>CENIK_št_1!B141</f>
        <v>Visokotlačni čistilec do fi 160</v>
      </c>
      <c r="E423" s="695"/>
      <c r="F423" s="141">
        <v>25000</v>
      </c>
      <c r="G423" s="142"/>
      <c r="H423" s="142"/>
      <c r="I423" s="143"/>
    </row>
    <row r="424" spans="2:9" x14ac:dyDescent="0.25">
      <c r="B424" s="104"/>
      <c r="C424" s="105"/>
      <c r="D424" s="696" t="s">
        <v>209</v>
      </c>
      <c r="E424" s="697"/>
      <c r="F424" s="144">
        <v>96</v>
      </c>
      <c r="G424" s="145"/>
      <c r="H424" s="145"/>
      <c r="I424" s="146"/>
    </row>
    <row r="425" spans="2:9" x14ac:dyDescent="0.25">
      <c r="B425" s="104"/>
      <c r="C425" s="105"/>
      <c r="D425" s="696" t="s">
        <v>208</v>
      </c>
      <c r="E425" s="697"/>
      <c r="F425" s="144">
        <v>15</v>
      </c>
      <c r="G425" s="145"/>
      <c r="H425" s="145"/>
      <c r="I425" s="146"/>
    </row>
    <row r="426" spans="2:9" x14ac:dyDescent="0.25">
      <c r="B426" s="667"/>
      <c r="C426" s="668"/>
      <c r="D426" s="686" t="s">
        <v>204</v>
      </c>
      <c r="E426" s="687"/>
      <c r="F426" s="147" t="s">
        <v>213</v>
      </c>
      <c r="G426" s="114"/>
      <c r="H426" s="106">
        <f>H413</f>
        <v>17.676717614689657</v>
      </c>
      <c r="I426" s="107">
        <f>F425*H426</f>
        <v>265.15076422034485</v>
      </c>
    </row>
    <row r="427" spans="2:9" ht="26.25" customHeight="1" x14ac:dyDescent="0.25">
      <c r="B427" s="667"/>
      <c r="C427" s="668"/>
      <c r="D427" s="701" t="s">
        <v>212</v>
      </c>
      <c r="E427" s="699"/>
      <c r="F427" s="148"/>
      <c r="G427" s="114"/>
      <c r="H427" s="106">
        <f>900/12/F425</f>
        <v>5</v>
      </c>
      <c r="I427" s="107">
        <f>F425*H427</f>
        <v>75</v>
      </c>
    </row>
    <row r="428" spans="2:9" x14ac:dyDescent="0.25">
      <c r="B428" s="667"/>
      <c r="C428" s="668"/>
      <c r="D428" s="700" t="s">
        <v>376</v>
      </c>
      <c r="E428" s="687"/>
      <c r="F428" s="148"/>
      <c r="G428" s="114">
        <v>3</v>
      </c>
      <c r="H428" s="106">
        <v>1.1890000000000001</v>
      </c>
      <c r="I428" s="116">
        <f>F425*G428*H428</f>
        <v>53.505000000000003</v>
      </c>
    </row>
    <row r="429" spans="2:9" ht="15.75" thickBot="1" x14ac:dyDescent="0.3">
      <c r="B429" s="667"/>
      <c r="C429" s="668"/>
      <c r="D429" s="686" t="s">
        <v>164</v>
      </c>
      <c r="E429" s="687"/>
      <c r="F429" s="149"/>
      <c r="G429" s="114"/>
      <c r="H429" s="114"/>
      <c r="I429" s="113">
        <f>F423/F424</f>
        <v>260.41666666666669</v>
      </c>
    </row>
    <row r="430" spans="2:9" ht="15.75" thickTop="1" x14ac:dyDescent="0.25">
      <c r="B430" s="667"/>
      <c r="C430" s="668"/>
      <c r="D430" s="669" t="s">
        <v>158</v>
      </c>
      <c r="E430" s="670"/>
      <c r="F430" s="148"/>
      <c r="G430" s="114"/>
      <c r="H430" s="114"/>
      <c r="I430" s="150">
        <f>SUM(I426:I429)</f>
        <v>654.07243088701148</v>
      </c>
    </row>
    <row r="431" spans="2:9" ht="15.75" thickBot="1" x14ac:dyDescent="0.3">
      <c r="B431" s="671"/>
      <c r="C431" s="672"/>
      <c r="D431" s="673" t="s">
        <v>207</v>
      </c>
      <c r="E431" s="674"/>
      <c r="F431" s="151"/>
      <c r="G431" s="152"/>
      <c r="H431" s="153"/>
      <c r="I431" s="109">
        <f>(I430/F425)*0.05</f>
        <v>2.1802414362900384</v>
      </c>
    </row>
    <row r="432" spans="2:9" ht="15.75" thickBot="1" x14ac:dyDescent="0.3">
      <c r="B432" s="675"/>
      <c r="C432" s="676"/>
      <c r="D432" s="677" t="s">
        <v>40</v>
      </c>
      <c r="E432" s="678"/>
      <c r="F432" s="154"/>
      <c r="G432" s="123"/>
      <c r="H432" s="155"/>
      <c r="I432" s="125">
        <f>(I430/F425)+I431+0.01</f>
        <v>45.795070162090802</v>
      </c>
    </row>
    <row r="433" spans="2:9" ht="15.75" thickBot="1" x14ac:dyDescent="0.3">
      <c r="B433" s="333"/>
      <c r="C433" s="333"/>
      <c r="D433" s="334"/>
      <c r="E433" s="334"/>
      <c r="F433" s="335"/>
      <c r="G433" s="336"/>
      <c r="H433" s="336"/>
      <c r="I433" s="337"/>
    </row>
    <row r="434" spans="2:9" ht="16.5" thickTop="1" thickBot="1" x14ac:dyDescent="0.3">
      <c r="B434" s="126"/>
      <c r="C434" s="126"/>
      <c r="D434" s="127"/>
      <c r="E434" s="127"/>
      <c r="F434" s="156"/>
      <c r="G434" s="128"/>
      <c r="H434" s="128"/>
      <c r="I434" s="130"/>
    </row>
    <row r="435" spans="2:9" ht="15.75" thickBot="1" x14ac:dyDescent="0.3">
      <c r="B435" s="42" t="s">
        <v>75</v>
      </c>
      <c r="C435" s="577" t="str">
        <f>[1]CENIK_št_1!B78</f>
        <v>PRIKLJUČKI ZA TOVORNA VOZILA IN TRAKTORJE</v>
      </c>
      <c r="D435" s="578"/>
      <c r="E435" s="578"/>
      <c r="F435" s="578"/>
      <c r="G435" s="578"/>
      <c r="H435" s="579"/>
    </row>
    <row r="436" spans="2:9" ht="23.25" thickBot="1" x14ac:dyDescent="0.3">
      <c r="B436" s="649" t="s">
        <v>36</v>
      </c>
      <c r="C436" s="683"/>
      <c r="D436" s="651" t="s">
        <v>37</v>
      </c>
      <c r="E436" s="693"/>
      <c r="F436" s="189" t="s">
        <v>38</v>
      </c>
      <c r="G436" s="48"/>
      <c r="H436" s="49" t="s">
        <v>41</v>
      </c>
    </row>
    <row r="437" spans="2:9" ht="25.5" customHeight="1" x14ac:dyDescent="0.25">
      <c r="B437" s="780" t="s">
        <v>76</v>
      </c>
      <c r="C437" s="783"/>
      <c r="D437" s="694" t="str">
        <f>CENIK_št_1!B106</f>
        <v>Posipalec za tovorna vozila - avtomatski</v>
      </c>
      <c r="E437" s="695"/>
      <c r="F437" s="204">
        <v>19250</v>
      </c>
      <c r="G437" s="205"/>
      <c r="H437" s="205"/>
    </row>
    <row r="438" spans="2:9" ht="15" customHeight="1" x14ac:dyDescent="0.25">
      <c r="B438" s="54"/>
      <c r="C438" s="55"/>
      <c r="D438" s="735" t="s">
        <v>209</v>
      </c>
      <c r="E438" s="782"/>
      <c r="F438" s="206">
        <v>96</v>
      </c>
      <c r="G438" s="207"/>
      <c r="H438" s="160"/>
    </row>
    <row r="439" spans="2:9" ht="17.25" customHeight="1" x14ac:dyDescent="0.25">
      <c r="B439" s="657"/>
      <c r="C439" s="658"/>
      <c r="D439" s="700" t="s">
        <v>215</v>
      </c>
      <c r="E439" s="779"/>
      <c r="F439" s="197"/>
      <c r="G439" s="27">
        <v>20</v>
      </c>
      <c r="H439" s="208"/>
    </row>
    <row r="440" spans="2:9" ht="23.25" customHeight="1" x14ac:dyDescent="0.25">
      <c r="B440" s="657"/>
      <c r="C440" s="658"/>
      <c r="D440" s="701" t="s">
        <v>214</v>
      </c>
      <c r="E440" s="751"/>
      <c r="F440" s="197"/>
      <c r="G440" s="24">
        <v>3.5</v>
      </c>
      <c r="H440" s="25">
        <f>G440*G439</f>
        <v>70</v>
      </c>
    </row>
    <row r="441" spans="2:9" ht="21.75" customHeight="1" thickBot="1" x14ac:dyDescent="0.3">
      <c r="B441" s="657"/>
      <c r="C441" s="658"/>
      <c r="D441" s="700" t="s">
        <v>164</v>
      </c>
      <c r="E441" s="779"/>
      <c r="F441" s="198"/>
      <c r="G441" s="23"/>
      <c r="H441" s="26">
        <f>F437/F438</f>
        <v>200.52083333333334</v>
      </c>
    </row>
    <row r="442" spans="2:9" ht="15.75" thickTop="1" x14ac:dyDescent="0.25">
      <c r="B442" s="657"/>
      <c r="C442" s="658"/>
      <c r="D442" s="777" t="s">
        <v>158</v>
      </c>
      <c r="E442" s="778"/>
      <c r="F442" s="197"/>
      <c r="G442" s="23"/>
      <c r="H442" s="199">
        <f>SUM(H440:H441)</f>
        <v>270.52083333333337</v>
      </c>
    </row>
    <row r="443" spans="2:9" ht="24.75" customHeight="1" thickBot="1" x14ac:dyDescent="0.3">
      <c r="B443" s="712"/>
      <c r="C443" s="713"/>
      <c r="D443" s="714" t="s">
        <v>216</v>
      </c>
      <c r="E443" s="715"/>
      <c r="F443" s="200"/>
      <c r="G443" s="201"/>
      <c r="H443" s="29">
        <f>(H442/G439)*0.05+0.18</f>
        <v>0.85630208333333346</v>
      </c>
    </row>
    <row r="444" spans="2:9" ht="15.75" thickBot="1" x14ac:dyDescent="0.3">
      <c r="B444" s="663"/>
      <c r="C444" s="664"/>
      <c r="D444" s="665" t="s">
        <v>40</v>
      </c>
      <c r="E444" s="666"/>
      <c r="F444" s="202"/>
      <c r="G444" s="203"/>
      <c r="H444" s="50">
        <f>(H442/G439)+H443</f>
        <v>14.38234375</v>
      </c>
    </row>
    <row r="445" spans="2:9" ht="15.75" thickBot="1" x14ac:dyDescent="0.3"/>
    <row r="446" spans="2:9" ht="15.75" thickBot="1" x14ac:dyDescent="0.3">
      <c r="B446" s="139" t="s">
        <v>75</v>
      </c>
      <c r="C446" s="679" t="str">
        <f>C435</f>
        <v>PRIKLJUČKI ZA TOVORNA VOZILA IN TRAKTORJE</v>
      </c>
      <c r="D446" s="680"/>
      <c r="E446" s="680"/>
      <c r="F446" s="680"/>
      <c r="G446" s="680"/>
      <c r="H446" s="681"/>
    </row>
    <row r="447" spans="2:9" ht="23.25" thickBot="1" x14ac:dyDescent="0.3">
      <c r="B447" s="682" t="s">
        <v>36</v>
      </c>
      <c r="C447" s="683"/>
      <c r="D447" s="692" t="s">
        <v>37</v>
      </c>
      <c r="E447" s="693"/>
      <c r="F447" s="140" t="s">
        <v>38</v>
      </c>
      <c r="G447" s="100"/>
      <c r="H447" s="101" t="s">
        <v>41</v>
      </c>
    </row>
    <row r="448" spans="2:9" x14ac:dyDescent="0.25">
      <c r="B448" s="780" t="s">
        <v>76</v>
      </c>
      <c r="C448" s="781"/>
      <c r="D448" s="694" t="str">
        <f>CENIK_št_1!B107</f>
        <v>Posipalec traktorski - regulacijski</v>
      </c>
      <c r="E448" s="695"/>
      <c r="F448" s="174">
        <v>5100</v>
      </c>
      <c r="G448" s="157"/>
      <c r="H448" s="157"/>
    </row>
    <row r="449" spans="2:8" x14ac:dyDescent="0.25">
      <c r="B449" s="104"/>
      <c r="C449" s="105"/>
      <c r="D449" s="696" t="s">
        <v>209</v>
      </c>
      <c r="E449" s="697"/>
      <c r="F449" s="161">
        <v>96</v>
      </c>
      <c r="G449" s="162"/>
      <c r="H449" s="160"/>
    </row>
    <row r="450" spans="2:8" ht="17.25" customHeight="1" x14ac:dyDescent="0.25">
      <c r="B450" s="667"/>
      <c r="C450" s="668"/>
      <c r="D450" s="700" t="s">
        <v>215</v>
      </c>
      <c r="E450" s="779"/>
      <c r="F450" s="148"/>
      <c r="G450" s="110">
        <v>10</v>
      </c>
      <c r="H450" s="158"/>
    </row>
    <row r="451" spans="2:8" ht="23.25" customHeight="1" x14ac:dyDescent="0.25">
      <c r="B451" s="667"/>
      <c r="C451" s="668"/>
      <c r="D451" s="701" t="s">
        <v>214</v>
      </c>
      <c r="E451" s="751"/>
      <c r="F451" s="148"/>
      <c r="G451" s="106">
        <v>3.5</v>
      </c>
      <c r="H451" s="107">
        <f>G451*G450</f>
        <v>35</v>
      </c>
    </row>
    <row r="452" spans="2:8" ht="21.75" customHeight="1" thickBot="1" x14ac:dyDescent="0.3">
      <c r="B452" s="667"/>
      <c r="C452" s="668"/>
      <c r="D452" s="700" t="s">
        <v>164</v>
      </c>
      <c r="E452" s="779"/>
      <c r="F452" s="149"/>
      <c r="G452" s="114"/>
      <c r="H452" s="113">
        <f>F448/F449</f>
        <v>53.125</v>
      </c>
    </row>
    <row r="453" spans="2:8" ht="15.75" thickTop="1" x14ac:dyDescent="0.25">
      <c r="B453" s="667"/>
      <c r="C453" s="668"/>
      <c r="D453" s="777" t="s">
        <v>158</v>
      </c>
      <c r="E453" s="778"/>
      <c r="F453" s="148"/>
      <c r="G453" s="114"/>
      <c r="H453" s="150">
        <f>SUM(H451:H452)</f>
        <v>88.125</v>
      </c>
    </row>
    <row r="454" spans="2:8" ht="24.75" customHeight="1" thickBot="1" x14ac:dyDescent="0.3">
      <c r="B454" s="671"/>
      <c r="C454" s="672"/>
      <c r="D454" s="714" t="s">
        <v>216</v>
      </c>
      <c r="E454" s="715"/>
      <c r="F454" s="151"/>
      <c r="G454" s="153"/>
      <c r="H454" s="109">
        <f>(H453/G450)*0.05</f>
        <v>0.44062500000000004</v>
      </c>
    </row>
    <row r="455" spans="2:8" ht="15.75" thickBot="1" x14ac:dyDescent="0.3">
      <c r="B455" s="675"/>
      <c r="C455" s="676"/>
      <c r="D455" s="677" t="s">
        <v>40</v>
      </c>
      <c r="E455" s="678"/>
      <c r="F455" s="154"/>
      <c r="G455" s="155"/>
      <c r="H455" s="125">
        <f>(H453/G450)+H454</f>
        <v>9.2531250000000007</v>
      </c>
    </row>
    <row r="456" spans="2:8" ht="15.75" thickBot="1" x14ac:dyDescent="0.3">
      <c r="B456" s="126"/>
      <c r="C456" s="126"/>
      <c r="D456" s="127"/>
      <c r="E456" s="127"/>
      <c r="F456" s="156"/>
      <c r="G456" s="128"/>
      <c r="H456" s="130"/>
    </row>
    <row r="457" spans="2:8" ht="15.75" thickBot="1" x14ac:dyDescent="0.3">
      <c r="B457" s="42" t="s">
        <v>75</v>
      </c>
      <c r="C457" s="577" t="str">
        <f>C446</f>
        <v>PRIKLJUČKI ZA TOVORNA VOZILA IN TRAKTORJE</v>
      </c>
      <c r="D457" s="578"/>
      <c r="E457" s="578"/>
      <c r="F457" s="578"/>
      <c r="G457" s="578"/>
      <c r="H457" s="579"/>
    </row>
    <row r="458" spans="2:8" ht="23.25" thickBot="1" x14ac:dyDescent="0.3">
      <c r="B458" s="649" t="s">
        <v>36</v>
      </c>
      <c r="C458" s="683"/>
      <c r="D458" s="651" t="s">
        <v>37</v>
      </c>
      <c r="E458" s="693"/>
      <c r="F458" s="189" t="s">
        <v>38</v>
      </c>
      <c r="G458" s="48"/>
      <c r="H458" s="49" t="s">
        <v>41</v>
      </c>
    </row>
    <row r="459" spans="2:8" ht="23.25" customHeight="1" x14ac:dyDescent="0.25">
      <c r="B459" s="780" t="s">
        <v>77</v>
      </c>
      <c r="C459" s="783"/>
      <c r="D459" s="694" t="str">
        <f>CENIK_št_1!B108</f>
        <v>Snežni plug - tovorno vozilo</v>
      </c>
      <c r="E459" s="695"/>
      <c r="F459" s="204">
        <v>8900</v>
      </c>
      <c r="G459" s="205"/>
      <c r="H459" s="205"/>
    </row>
    <row r="460" spans="2:8" x14ac:dyDescent="0.25">
      <c r="B460" s="54"/>
      <c r="C460" s="55"/>
      <c r="D460" s="735" t="s">
        <v>209</v>
      </c>
      <c r="E460" s="782"/>
      <c r="F460" s="206">
        <v>96</v>
      </c>
      <c r="G460" s="207"/>
      <c r="H460" s="160"/>
    </row>
    <row r="461" spans="2:8" ht="17.25" customHeight="1" x14ac:dyDescent="0.25">
      <c r="B461" s="657"/>
      <c r="C461" s="658"/>
      <c r="D461" s="700" t="s">
        <v>215</v>
      </c>
      <c r="E461" s="779"/>
      <c r="F461" s="197"/>
      <c r="G461" s="27">
        <v>10</v>
      </c>
      <c r="H461" s="208"/>
    </row>
    <row r="462" spans="2:8" ht="30" customHeight="1" x14ac:dyDescent="0.25">
      <c r="B462" s="657"/>
      <c r="C462" s="658"/>
      <c r="D462" s="701" t="s">
        <v>214</v>
      </c>
      <c r="E462" s="751"/>
      <c r="F462" s="197"/>
      <c r="G462" s="24">
        <v>2.5</v>
      </c>
      <c r="H462" s="25">
        <f>G462*G461</f>
        <v>25</v>
      </c>
    </row>
    <row r="463" spans="2:8" ht="21.75" customHeight="1" thickBot="1" x14ac:dyDescent="0.3">
      <c r="B463" s="657"/>
      <c r="C463" s="658"/>
      <c r="D463" s="700" t="s">
        <v>164</v>
      </c>
      <c r="E463" s="779"/>
      <c r="F463" s="198"/>
      <c r="G463" s="23"/>
      <c r="H463" s="26">
        <f>F459/F460</f>
        <v>92.708333333333329</v>
      </c>
    </row>
    <row r="464" spans="2:8" ht="15.75" thickTop="1" x14ac:dyDescent="0.25">
      <c r="B464" s="657"/>
      <c r="C464" s="658"/>
      <c r="D464" s="777" t="s">
        <v>158</v>
      </c>
      <c r="E464" s="778"/>
      <c r="F464" s="197"/>
      <c r="G464" s="23"/>
      <c r="H464" s="199">
        <f>SUM(H462:H463)</f>
        <v>117.70833333333333</v>
      </c>
    </row>
    <row r="465" spans="2:8" ht="24.75" customHeight="1" thickBot="1" x14ac:dyDescent="0.3">
      <c r="B465" s="712"/>
      <c r="C465" s="713"/>
      <c r="D465" s="714" t="s">
        <v>216</v>
      </c>
      <c r="E465" s="715"/>
      <c r="F465" s="200"/>
      <c r="G465" s="201"/>
      <c r="H465" s="29">
        <f>(H464/G461)*0.05+0.01</f>
        <v>0.59854166666666664</v>
      </c>
    </row>
    <row r="466" spans="2:8" ht="15.75" thickBot="1" x14ac:dyDescent="0.3">
      <c r="B466" s="663"/>
      <c r="C466" s="664"/>
      <c r="D466" s="665" t="s">
        <v>40</v>
      </c>
      <c r="E466" s="666"/>
      <c r="F466" s="202"/>
      <c r="G466" s="203"/>
      <c r="H466" s="50">
        <f>(H464/G461)+H465</f>
        <v>12.369374999999998</v>
      </c>
    </row>
    <row r="467" spans="2:8" ht="15.75" thickBot="1" x14ac:dyDescent="0.3">
      <c r="B467" s="183"/>
      <c r="C467" s="183"/>
      <c r="D467" s="184"/>
      <c r="E467" s="184"/>
      <c r="F467" s="321"/>
      <c r="G467" s="185"/>
      <c r="H467" s="187"/>
    </row>
    <row r="468" spans="2:8" ht="15.75" thickBot="1" x14ac:dyDescent="0.3">
      <c r="B468" s="42" t="s">
        <v>75</v>
      </c>
      <c r="C468" s="577" t="str">
        <f>C457</f>
        <v>PRIKLJUČKI ZA TOVORNA VOZILA IN TRAKTORJE</v>
      </c>
      <c r="D468" s="578"/>
      <c r="E468" s="578"/>
      <c r="F468" s="578"/>
      <c r="G468" s="578"/>
      <c r="H468" s="579"/>
    </row>
    <row r="469" spans="2:8" ht="23.25" thickBot="1" x14ac:dyDescent="0.3">
      <c r="B469" s="649" t="s">
        <v>36</v>
      </c>
      <c r="C469" s="683"/>
      <c r="D469" s="651" t="s">
        <v>37</v>
      </c>
      <c r="E469" s="693"/>
      <c r="F469" s="189" t="s">
        <v>38</v>
      </c>
      <c r="G469" s="48"/>
      <c r="H469" s="49" t="s">
        <v>41</v>
      </c>
    </row>
    <row r="470" spans="2:8" x14ac:dyDescent="0.25">
      <c r="B470" s="780" t="s">
        <v>78</v>
      </c>
      <c r="C470" s="783"/>
      <c r="D470" s="694" t="str">
        <f>CENIK_št_1!B109</f>
        <v>Snežni plug - traktor</v>
      </c>
      <c r="E470" s="695"/>
      <c r="F470" s="204">
        <v>5000</v>
      </c>
      <c r="G470" s="205"/>
      <c r="H470" s="205"/>
    </row>
    <row r="471" spans="2:8" x14ac:dyDescent="0.25">
      <c r="B471" s="54"/>
      <c r="C471" s="55"/>
      <c r="D471" s="735" t="s">
        <v>209</v>
      </c>
      <c r="E471" s="782"/>
      <c r="F471" s="206">
        <v>96</v>
      </c>
      <c r="G471" s="207"/>
      <c r="H471" s="160"/>
    </row>
    <row r="472" spans="2:8" x14ac:dyDescent="0.25">
      <c r="B472" s="657"/>
      <c r="C472" s="658"/>
      <c r="D472" s="700" t="s">
        <v>215</v>
      </c>
      <c r="E472" s="779"/>
      <c r="F472" s="197"/>
      <c r="G472" s="27">
        <v>10</v>
      </c>
      <c r="H472" s="208"/>
    </row>
    <row r="473" spans="2:8" ht="27" customHeight="1" x14ac:dyDescent="0.25">
      <c r="B473" s="657"/>
      <c r="C473" s="658"/>
      <c r="D473" s="701" t="s">
        <v>214</v>
      </c>
      <c r="E473" s="751"/>
      <c r="F473" s="197"/>
      <c r="G473" s="24">
        <v>2.5</v>
      </c>
      <c r="H473" s="25">
        <f>G473*G472</f>
        <v>25</v>
      </c>
    </row>
    <row r="474" spans="2:8" ht="15.75" thickBot="1" x14ac:dyDescent="0.3">
      <c r="B474" s="657"/>
      <c r="C474" s="658"/>
      <c r="D474" s="700" t="s">
        <v>164</v>
      </c>
      <c r="E474" s="779"/>
      <c r="F474" s="198"/>
      <c r="G474" s="23"/>
      <c r="H474" s="26">
        <f>F470/F471</f>
        <v>52.083333333333336</v>
      </c>
    </row>
    <row r="475" spans="2:8" ht="15.75" thickTop="1" x14ac:dyDescent="0.25">
      <c r="B475" s="657"/>
      <c r="C475" s="658"/>
      <c r="D475" s="777" t="s">
        <v>158</v>
      </c>
      <c r="E475" s="778"/>
      <c r="F475" s="197"/>
      <c r="G475" s="23"/>
      <c r="H475" s="199">
        <f>SUM(H473:H474)</f>
        <v>77.083333333333343</v>
      </c>
    </row>
    <row r="476" spans="2:8" ht="15.75" thickBot="1" x14ac:dyDescent="0.3">
      <c r="B476" s="712"/>
      <c r="C476" s="713"/>
      <c r="D476" s="714" t="s">
        <v>216</v>
      </c>
      <c r="E476" s="715"/>
      <c r="F476" s="200"/>
      <c r="G476" s="201"/>
      <c r="H476" s="29">
        <f>(H475/G472)*0.05+0.01</f>
        <v>0.39541666666666675</v>
      </c>
    </row>
    <row r="477" spans="2:8" ht="15.75" thickBot="1" x14ac:dyDescent="0.3">
      <c r="B477" s="663"/>
      <c r="C477" s="664"/>
      <c r="D477" s="665" t="s">
        <v>40</v>
      </c>
      <c r="E477" s="666"/>
      <c r="F477" s="202"/>
      <c r="G477" s="203"/>
      <c r="H477" s="50">
        <f>(H475/G472)+H476</f>
        <v>8.1037500000000016</v>
      </c>
    </row>
    <row r="478" spans="2:8" ht="15.75" thickBot="1" x14ac:dyDescent="0.3">
      <c r="B478" s="183"/>
      <c r="C478" s="183"/>
      <c r="D478" s="184"/>
      <c r="E478" s="184"/>
      <c r="F478" s="321"/>
      <c r="G478" s="185"/>
      <c r="H478" s="187"/>
    </row>
    <row r="479" spans="2:8" ht="15.75" thickBot="1" x14ac:dyDescent="0.3">
      <c r="B479" s="139" t="s">
        <v>75</v>
      </c>
      <c r="C479" s="679" t="str">
        <f>C457</f>
        <v>PRIKLJUČKI ZA TOVORNA VOZILA IN TRAKTORJE</v>
      </c>
      <c r="D479" s="680"/>
      <c r="E479" s="680"/>
      <c r="F479" s="680"/>
      <c r="G479" s="680"/>
      <c r="H479" s="681"/>
    </row>
    <row r="480" spans="2:8" ht="23.25" thickBot="1" x14ac:dyDescent="0.3">
      <c r="B480" s="682" t="s">
        <v>36</v>
      </c>
      <c r="C480" s="683"/>
      <c r="D480" s="692" t="s">
        <v>37</v>
      </c>
      <c r="E480" s="693"/>
      <c r="F480" s="140" t="s">
        <v>38</v>
      </c>
      <c r="G480" s="100"/>
      <c r="H480" s="101" t="s">
        <v>41</v>
      </c>
    </row>
    <row r="481" spans="2:9" x14ac:dyDescent="0.25">
      <c r="B481" s="780" t="s">
        <v>79</v>
      </c>
      <c r="C481" s="781"/>
      <c r="D481" s="694" t="str">
        <f>CENIK_št_1!B110</f>
        <v>Čelno in bočno puhalo (rezkar)</v>
      </c>
      <c r="E481" s="695"/>
      <c r="F481" s="174">
        <v>19000</v>
      </c>
      <c r="G481" s="157"/>
      <c r="H481" s="157"/>
    </row>
    <row r="482" spans="2:9" x14ac:dyDescent="0.25">
      <c r="B482" s="104"/>
      <c r="C482" s="105"/>
      <c r="D482" s="696" t="s">
        <v>209</v>
      </c>
      <c r="E482" s="697"/>
      <c r="F482" s="161">
        <v>108</v>
      </c>
      <c r="G482" s="162"/>
      <c r="H482" s="160"/>
    </row>
    <row r="483" spans="2:9" ht="17.25" customHeight="1" x14ac:dyDescent="0.25">
      <c r="B483" s="667"/>
      <c r="C483" s="668"/>
      <c r="D483" s="700" t="s">
        <v>215</v>
      </c>
      <c r="E483" s="779"/>
      <c r="F483" s="148"/>
      <c r="G483" s="110">
        <v>8</v>
      </c>
      <c r="H483" s="158"/>
    </row>
    <row r="484" spans="2:9" ht="22.5" customHeight="1" x14ac:dyDescent="0.25">
      <c r="B484" s="667"/>
      <c r="C484" s="668"/>
      <c r="D484" s="701" t="s">
        <v>214</v>
      </c>
      <c r="E484" s="751"/>
      <c r="F484" s="148"/>
      <c r="G484" s="106">
        <v>3.7</v>
      </c>
      <c r="H484" s="107">
        <f>G484*G483</f>
        <v>29.6</v>
      </c>
    </row>
    <row r="485" spans="2:9" ht="21.75" customHeight="1" thickBot="1" x14ac:dyDescent="0.3">
      <c r="B485" s="667"/>
      <c r="C485" s="668"/>
      <c r="D485" s="700" t="s">
        <v>164</v>
      </c>
      <c r="E485" s="779"/>
      <c r="F485" s="149"/>
      <c r="G485" s="114"/>
      <c r="H485" s="113">
        <f>F481/F482</f>
        <v>175.92592592592592</v>
      </c>
    </row>
    <row r="486" spans="2:9" ht="15.75" thickTop="1" x14ac:dyDescent="0.25">
      <c r="B486" s="667"/>
      <c r="C486" s="668"/>
      <c r="D486" s="777" t="s">
        <v>158</v>
      </c>
      <c r="E486" s="778"/>
      <c r="F486" s="148"/>
      <c r="G486" s="114"/>
      <c r="H486" s="150">
        <f>SUM(H484:H485)</f>
        <v>205.52592592592592</v>
      </c>
    </row>
    <row r="487" spans="2:9" ht="24.75" customHeight="1" thickBot="1" x14ac:dyDescent="0.3">
      <c r="B487" s="671"/>
      <c r="C487" s="672"/>
      <c r="D487" s="714" t="s">
        <v>216</v>
      </c>
      <c r="E487" s="715"/>
      <c r="F487" s="151"/>
      <c r="G487" s="153"/>
      <c r="H487" s="109">
        <f>(H486/G483)*0.05</f>
        <v>1.284537037037037</v>
      </c>
    </row>
    <row r="488" spans="2:9" ht="15.75" thickBot="1" x14ac:dyDescent="0.3">
      <c r="B488" s="675"/>
      <c r="C488" s="676"/>
      <c r="D488" s="677" t="s">
        <v>40</v>
      </c>
      <c r="E488" s="678"/>
      <c r="F488" s="154"/>
      <c r="G488" s="155"/>
      <c r="H488" s="125">
        <f>(H486/G483)+H487</f>
        <v>26.975277777777777</v>
      </c>
    </row>
    <row r="489" spans="2:9" x14ac:dyDescent="0.25">
      <c r="B489" s="126"/>
      <c r="C489" s="126"/>
      <c r="D489" s="127"/>
      <c r="E489" s="127"/>
      <c r="F489" s="156"/>
      <c r="G489" s="128"/>
      <c r="H489" s="130"/>
      <c r="I489" s="175"/>
    </row>
    <row r="490" spans="2:9" ht="15.75" thickBot="1" x14ac:dyDescent="0.3"/>
    <row r="491" spans="2:9" ht="15.75" thickBot="1" x14ac:dyDescent="0.3">
      <c r="B491" s="139" t="s">
        <v>75</v>
      </c>
      <c r="C491" s="679" t="str">
        <f>C479</f>
        <v>PRIKLJUČKI ZA TOVORNA VOZILA IN TRAKTORJE</v>
      </c>
      <c r="D491" s="680"/>
      <c r="E491" s="680"/>
      <c r="F491" s="680"/>
      <c r="G491" s="680"/>
      <c r="H491" s="681"/>
    </row>
    <row r="492" spans="2:9" ht="23.25" thickBot="1" x14ac:dyDescent="0.3">
      <c r="B492" s="682" t="s">
        <v>36</v>
      </c>
      <c r="C492" s="683"/>
      <c r="D492" s="692" t="s">
        <v>37</v>
      </c>
      <c r="E492" s="693"/>
      <c r="F492" s="140" t="s">
        <v>38</v>
      </c>
      <c r="G492" s="100"/>
      <c r="H492" s="101" t="s">
        <v>41</v>
      </c>
    </row>
    <row r="493" spans="2:9" x14ac:dyDescent="0.25">
      <c r="B493" s="780" t="s">
        <v>80</v>
      </c>
      <c r="C493" s="781"/>
      <c r="D493" s="694" t="str">
        <f>CENIK_št_1!B111</f>
        <v>Traktorska prikolica</v>
      </c>
      <c r="E493" s="695"/>
      <c r="F493" s="174">
        <v>12000</v>
      </c>
      <c r="G493" s="157"/>
      <c r="H493" s="157"/>
    </row>
    <row r="494" spans="2:9" x14ac:dyDescent="0.25">
      <c r="B494" s="104"/>
      <c r="C494" s="105"/>
      <c r="D494" s="696" t="s">
        <v>209</v>
      </c>
      <c r="E494" s="697"/>
      <c r="F494" s="161">
        <v>84</v>
      </c>
      <c r="G494" s="162"/>
      <c r="H494" s="160"/>
    </row>
    <row r="495" spans="2:9" ht="17.25" customHeight="1" x14ac:dyDescent="0.25">
      <c r="B495" s="667"/>
      <c r="C495" s="668"/>
      <c r="D495" s="700" t="s">
        <v>215</v>
      </c>
      <c r="E495" s="779"/>
      <c r="F495" s="148"/>
      <c r="G495" s="110">
        <v>30</v>
      </c>
      <c r="H495" s="158"/>
    </row>
    <row r="496" spans="2:9" ht="22.5" customHeight="1" x14ac:dyDescent="0.25">
      <c r="B496" s="667"/>
      <c r="C496" s="668"/>
      <c r="D496" s="701" t="s">
        <v>214</v>
      </c>
      <c r="E496" s="751"/>
      <c r="F496" s="148"/>
      <c r="G496" s="106">
        <v>4</v>
      </c>
      <c r="H496" s="107">
        <f>G496*G495</f>
        <v>120</v>
      </c>
    </row>
    <row r="497" spans="2:8" ht="25.5" customHeight="1" thickBot="1" x14ac:dyDescent="0.3">
      <c r="B497" s="667"/>
      <c r="C497" s="668"/>
      <c r="D497" s="700" t="s">
        <v>164</v>
      </c>
      <c r="E497" s="779"/>
      <c r="F497" s="149"/>
      <c r="G497" s="114"/>
      <c r="H497" s="113">
        <f>F493/F494</f>
        <v>142.85714285714286</v>
      </c>
    </row>
    <row r="498" spans="2:8" ht="15.75" thickTop="1" x14ac:dyDescent="0.25">
      <c r="B498" s="667"/>
      <c r="C498" s="668"/>
      <c r="D498" s="777" t="s">
        <v>158</v>
      </c>
      <c r="E498" s="778"/>
      <c r="F498" s="148"/>
      <c r="G498" s="114"/>
      <c r="H498" s="150">
        <f>SUM(H496:H497)</f>
        <v>262.85714285714289</v>
      </c>
    </row>
    <row r="499" spans="2:8" ht="24.75" customHeight="1" thickBot="1" x14ac:dyDescent="0.3">
      <c r="B499" s="671"/>
      <c r="C499" s="672"/>
      <c r="D499" s="714" t="s">
        <v>216</v>
      </c>
      <c r="E499" s="715"/>
      <c r="F499" s="151"/>
      <c r="G499" s="153"/>
      <c r="H499" s="109">
        <f>(H498/G495)*0.05</f>
        <v>0.43809523809523815</v>
      </c>
    </row>
    <row r="500" spans="2:8" ht="15.75" thickBot="1" x14ac:dyDescent="0.3">
      <c r="B500" s="675"/>
      <c r="C500" s="676"/>
      <c r="D500" s="677" t="s">
        <v>40</v>
      </c>
      <c r="E500" s="678"/>
      <c r="F500" s="154"/>
      <c r="G500" s="155"/>
      <c r="H500" s="125">
        <f>(H498/G495)+H499</f>
        <v>9.2000000000000011</v>
      </c>
    </row>
    <row r="501" spans="2:8" ht="15.75" thickBot="1" x14ac:dyDescent="0.3">
      <c r="B501" s="126"/>
      <c r="C501" s="126"/>
      <c r="D501" s="127"/>
      <c r="E501" s="127"/>
      <c r="F501" s="156"/>
      <c r="G501" s="128"/>
      <c r="H501" s="130"/>
    </row>
    <row r="502" spans="2:8" ht="15.75" thickBot="1" x14ac:dyDescent="0.3">
      <c r="B502" s="139" t="s">
        <v>75</v>
      </c>
      <c r="C502" s="679" t="str">
        <f>C491</f>
        <v>PRIKLJUČKI ZA TOVORNA VOZILA IN TRAKTORJE</v>
      </c>
      <c r="D502" s="680"/>
      <c r="E502" s="680"/>
      <c r="F502" s="680"/>
      <c r="G502" s="680"/>
      <c r="H502" s="681"/>
    </row>
    <row r="503" spans="2:8" ht="23.25" thickBot="1" x14ac:dyDescent="0.3">
      <c r="B503" s="682" t="s">
        <v>36</v>
      </c>
      <c r="C503" s="732"/>
      <c r="D503" s="692" t="s">
        <v>37</v>
      </c>
      <c r="E503" s="731"/>
      <c r="F503" s="140" t="s">
        <v>38</v>
      </c>
      <c r="G503" s="100"/>
      <c r="H503" s="101" t="s">
        <v>41</v>
      </c>
    </row>
    <row r="504" spans="2:8" ht="23.25" customHeight="1" x14ac:dyDescent="0.25">
      <c r="B504" s="684" t="s">
        <v>81</v>
      </c>
      <c r="C504" s="703"/>
      <c r="D504" s="694" t="str">
        <f>CENIK_št_1!B112</f>
        <v>Bočna traktorska kosilnica (mulčar)</v>
      </c>
      <c r="E504" s="695"/>
      <c r="F504" s="174">
        <v>23000</v>
      </c>
      <c r="G504" s="157"/>
      <c r="H504" s="157"/>
    </row>
    <row r="505" spans="2:8" ht="15" customHeight="1" x14ac:dyDescent="0.25">
      <c r="B505" s="104"/>
      <c r="C505" s="105"/>
      <c r="D505" s="696" t="s">
        <v>209</v>
      </c>
      <c r="E505" s="720"/>
      <c r="F505" s="161">
        <v>96</v>
      </c>
      <c r="G505" s="162"/>
      <c r="H505" s="160"/>
    </row>
    <row r="506" spans="2:8" ht="17.25" customHeight="1" x14ac:dyDescent="0.25">
      <c r="B506" s="733"/>
      <c r="C506" s="734"/>
      <c r="D506" s="704" t="s">
        <v>215</v>
      </c>
      <c r="E506" s="660"/>
      <c r="F506" s="148"/>
      <c r="G506" s="110">
        <v>20</v>
      </c>
      <c r="H506" s="158"/>
    </row>
    <row r="507" spans="2:8" ht="27" customHeight="1" x14ac:dyDescent="0.25">
      <c r="B507" s="733"/>
      <c r="C507" s="734"/>
      <c r="D507" s="688" t="s">
        <v>214</v>
      </c>
      <c r="E507" s="689"/>
      <c r="F507" s="148"/>
      <c r="G507" s="106">
        <v>6</v>
      </c>
      <c r="H507" s="107">
        <f>G507*G506</f>
        <v>120</v>
      </c>
    </row>
    <row r="508" spans="2:8" ht="25.5" customHeight="1" thickBot="1" x14ac:dyDescent="0.3">
      <c r="B508" s="733"/>
      <c r="C508" s="734"/>
      <c r="D508" s="704" t="s">
        <v>164</v>
      </c>
      <c r="E508" s="660"/>
      <c r="F508" s="149"/>
      <c r="G508" s="114"/>
      <c r="H508" s="113">
        <f>F504/F505</f>
        <v>239.58333333333334</v>
      </c>
    </row>
    <row r="509" spans="2:8" ht="15.75" thickTop="1" x14ac:dyDescent="0.25">
      <c r="B509" s="733"/>
      <c r="C509" s="734"/>
      <c r="D509" s="659" t="s">
        <v>158</v>
      </c>
      <c r="E509" s="707"/>
      <c r="F509" s="148"/>
      <c r="G509" s="114"/>
      <c r="H509" s="150">
        <f>SUM(H507:H508)</f>
        <v>359.58333333333337</v>
      </c>
    </row>
    <row r="510" spans="2:8" ht="24.75" customHeight="1" thickBot="1" x14ac:dyDescent="0.3">
      <c r="B510" s="716"/>
      <c r="C510" s="717"/>
      <c r="D510" s="710" t="s">
        <v>216</v>
      </c>
      <c r="E510" s="711"/>
      <c r="F510" s="151"/>
      <c r="G510" s="153"/>
      <c r="H510" s="109">
        <f>(H509/G506)*0.05</f>
        <v>0.89895833333333341</v>
      </c>
    </row>
    <row r="511" spans="2:8" ht="15.75" thickBot="1" x14ac:dyDescent="0.3">
      <c r="B511" s="675"/>
      <c r="C511" s="676"/>
      <c r="D511" s="677" t="s">
        <v>40</v>
      </c>
      <c r="E511" s="678"/>
      <c r="F511" s="154"/>
      <c r="G511" s="155"/>
      <c r="H511" s="125">
        <f>(H509/G506)+H510</f>
        <v>18.878125000000001</v>
      </c>
    </row>
    <row r="512" spans="2:8" ht="15.75" thickBot="1" x14ac:dyDescent="0.3">
      <c r="B512" s="126"/>
      <c r="C512" s="126"/>
      <c r="D512" s="127"/>
      <c r="E512" s="127"/>
      <c r="F512" s="156"/>
      <c r="G512" s="128"/>
      <c r="H512" s="130"/>
    </row>
    <row r="513" spans="2:8" ht="15.75" thickBot="1" x14ac:dyDescent="0.3">
      <c r="B513" s="139" t="s">
        <v>75</v>
      </c>
      <c r="C513" s="679" t="str">
        <f>C502</f>
        <v>PRIKLJUČKI ZA TOVORNA VOZILA IN TRAKTORJE</v>
      </c>
      <c r="D513" s="680"/>
      <c r="E513" s="680"/>
      <c r="F513" s="680"/>
      <c r="G513" s="680"/>
      <c r="H513" s="681"/>
    </row>
    <row r="514" spans="2:8" ht="23.25" thickBot="1" x14ac:dyDescent="0.3">
      <c r="B514" s="682" t="s">
        <v>36</v>
      </c>
      <c r="C514" s="732"/>
      <c r="D514" s="692" t="s">
        <v>37</v>
      </c>
      <c r="E514" s="731"/>
      <c r="F514" s="140" t="s">
        <v>38</v>
      </c>
      <c r="G514" s="100"/>
      <c r="H514" s="101" t="s">
        <v>41</v>
      </c>
    </row>
    <row r="515" spans="2:8" ht="23.25" customHeight="1" x14ac:dyDescent="0.25">
      <c r="B515" s="684" t="s">
        <v>82</v>
      </c>
      <c r="C515" s="703"/>
      <c r="D515" s="694" t="str">
        <f>CENIK_št_1!B113</f>
        <v>Tovorna prikolica do 750 kg sdm</v>
      </c>
      <c r="E515" s="695"/>
      <c r="F515" s="174">
        <v>3000</v>
      </c>
      <c r="G515" s="157"/>
      <c r="H515" s="157"/>
    </row>
    <row r="516" spans="2:8" ht="15" customHeight="1" x14ac:dyDescent="0.25">
      <c r="B516" s="104"/>
      <c r="C516" s="105"/>
      <c r="D516" s="696" t="s">
        <v>209</v>
      </c>
      <c r="E516" s="720"/>
      <c r="F516" s="161">
        <v>96</v>
      </c>
      <c r="G516" s="162"/>
      <c r="H516" s="160"/>
    </row>
    <row r="517" spans="2:8" ht="17.25" customHeight="1" x14ac:dyDescent="0.25">
      <c r="B517" s="733"/>
      <c r="C517" s="734"/>
      <c r="D517" s="704" t="s">
        <v>215</v>
      </c>
      <c r="E517" s="660"/>
      <c r="F517" s="148"/>
      <c r="G517" s="110">
        <v>25</v>
      </c>
      <c r="H517" s="158"/>
    </row>
    <row r="518" spans="2:8" ht="23.25" customHeight="1" x14ac:dyDescent="0.25">
      <c r="B518" s="733"/>
      <c r="C518" s="734"/>
      <c r="D518" s="688" t="s">
        <v>214</v>
      </c>
      <c r="E518" s="689"/>
      <c r="F518" s="148"/>
      <c r="G518" s="106">
        <v>1.5</v>
      </c>
      <c r="H518" s="107">
        <f>G518*G517</f>
        <v>37.5</v>
      </c>
    </row>
    <row r="519" spans="2:8" ht="25.5" customHeight="1" thickBot="1" x14ac:dyDescent="0.3">
      <c r="B519" s="733"/>
      <c r="C519" s="734"/>
      <c r="D519" s="704" t="s">
        <v>164</v>
      </c>
      <c r="E519" s="660"/>
      <c r="F519" s="149"/>
      <c r="G519" s="114"/>
      <c r="H519" s="113">
        <f>F515/F516</f>
        <v>31.25</v>
      </c>
    </row>
    <row r="520" spans="2:8" ht="15.75" thickTop="1" x14ac:dyDescent="0.25">
      <c r="B520" s="733"/>
      <c r="C520" s="734"/>
      <c r="D520" s="659" t="s">
        <v>158</v>
      </c>
      <c r="E520" s="707"/>
      <c r="F520" s="148"/>
      <c r="G520" s="114"/>
      <c r="H520" s="150">
        <f>SUM(H518:H519)</f>
        <v>68.75</v>
      </c>
    </row>
    <row r="521" spans="2:8" ht="24.75" customHeight="1" thickBot="1" x14ac:dyDescent="0.3">
      <c r="B521" s="716"/>
      <c r="C521" s="717"/>
      <c r="D521" s="710" t="s">
        <v>216</v>
      </c>
      <c r="E521" s="711"/>
      <c r="F521" s="151"/>
      <c r="G521" s="153"/>
      <c r="H521" s="109">
        <f>(H520/G517)*0.05</f>
        <v>0.13750000000000001</v>
      </c>
    </row>
    <row r="522" spans="2:8" ht="15.75" thickBot="1" x14ac:dyDescent="0.3">
      <c r="B522" s="675"/>
      <c r="C522" s="676"/>
      <c r="D522" s="677" t="s">
        <v>40</v>
      </c>
      <c r="E522" s="678"/>
      <c r="F522" s="154"/>
      <c r="G522" s="155"/>
      <c r="H522" s="125">
        <f>(H520/G517)+H521</f>
        <v>2.8875000000000002</v>
      </c>
    </row>
    <row r="523" spans="2:8" ht="15.75" thickBot="1" x14ac:dyDescent="0.3">
      <c r="B523" s="126"/>
      <c r="C523" s="126"/>
      <c r="D523" s="127"/>
      <c r="E523" s="127"/>
      <c r="F523" s="156"/>
      <c r="G523" s="128"/>
      <c r="H523" s="130"/>
    </row>
    <row r="524" spans="2:8" ht="15.75" thickBot="1" x14ac:dyDescent="0.3">
      <c r="B524" s="139" t="s">
        <v>75</v>
      </c>
      <c r="C524" s="679" t="str">
        <f>C513</f>
        <v>PRIKLJUČKI ZA TOVORNA VOZILA IN TRAKTORJE</v>
      </c>
      <c r="D524" s="680"/>
      <c r="E524" s="680"/>
      <c r="F524" s="680"/>
      <c r="G524" s="680"/>
      <c r="H524" s="681"/>
    </row>
    <row r="525" spans="2:8" ht="23.25" thickBot="1" x14ac:dyDescent="0.3">
      <c r="B525" s="682" t="s">
        <v>36</v>
      </c>
      <c r="C525" s="732"/>
      <c r="D525" s="692" t="s">
        <v>37</v>
      </c>
      <c r="E525" s="731"/>
      <c r="F525" s="140" t="s">
        <v>38</v>
      </c>
      <c r="G525" s="100"/>
      <c r="H525" s="101" t="s">
        <v>41</v>
      </c>
    </row>
    <row r="526" spans="2:8" ht="23.25" customHeight="1" x14ac:dyDescent="0.25">
      <c r="B526" s="684" t="s">
        <v>83</v>
      </c>
      <c r="C526" s="703"/>
      <c r="D526" s="694" t="str">
        <f>CENIK_št_1!B114</f>
        <v>Tovorna prikolica do 3,5 t sdm</v>
      </c>
      <c r="E526" s="695"/>
      <c r="F526" s="174">
        <v>6000</v>
      </c>
      <c r="G526" s="157"/>
      <c r="H526" s="157"/>
    </row>
    <row r="527" spans="2:8" ht="15" customHeight="1" x14ac:dyDescent="0.25">
      <c r="B527" s="104"/>
      <c r="C527" s="105"/>
      <c r="D527" s="696" t="s">
        <v>209</v>
      </c>
      <c r="E527" s="720"/>
      <c r="F527" s="161">
        <v>70</v>
      </c>
      <c r="G527" s="162"/>
      <c r="H527" s="160"/>
    </row>
    <row r="528" spans="2:8" ht="17.25" customHeight="1" x14ac:dyDescent="0.25">
      <c r="B528" s="733"/>
      <c r="C528" s="734"/>
      <c r="D528" s="704" t="s">
        <v>215</v>
      </c>
      <c r="E528" s="660"/>
      <c r="F528" s="148"/>
      <c r="G528" s="110">
        <v>20</v>
      </c>
      <c r="H528" s="158"/>
    </row>
    <row r="529" spans="2:8" ht="23.25" customHeight="1" x14ac:dyDescent="0.25">
      <c r="B529" s="733"/>
      <c r="C529" s="734"/>
      <c r="D529" s="688" t="s">
        <v>214</v>
      </c>
      <c r="E529" s="689"/>
      <c r="F529" s="148"/>
      <c r="G529" s="106">
        <v>2.5</v>
      </c>
      <c r="H529" s="107">
        <f>G529*G528</f>
        <v>50</v>
      </c>
    </row>
    <row r="530" spans="2:8" ht="25.5" customHeight="1" thickBot="1" x14ac:dyDescent="0.3">
      <c r="B530" s="733"/>
      <c r="C530" s="734"/>
      <c r="D530" s="704" t="s">
        <v>164</v>
      </c>
      <c r="E530" s="660"/>
      <c r="F530" s="149"/>
      <c r="G530" s="114"/>
      <c r="H530" s="113">
        <f>F526/F527</f>
        <v>85.714285714285708</v>
      </c>
    </row>
    <row r="531" spans="2:8" ht="15.75" thickTop="1" x14ac:dyDescent="0.25">
      <c r="B531" s="733"/>
      <c r="C531" s="734"/>
      <c r="D531" s="659" t="s">
        <v>158</v>
      </c>
      <c r="E531" s="707"/>
      <c r="F531" s="148"/>
      <c r="G531" s="114"/>
      <c r="H531" s="150">
        <f>SUM(H529:H530)</f>
        <v>135.71428571428572</v>
      </c>
    </row>
    <row r="532" spans="2:8" ht="24.75" customHeight="1" thickBot="1" x14ac:dyDescent="0.3">
      <c r="B532" s="716"/>
      <c r="C532" s="717"/>
      <c r="D532" s="710" t="s">
        <v>216</v>
      </c>
      <c r="E532" s="711"/>
      <c r="F532" s="151"/>
      <c r="G532" s="153"/>
      <c r="H532" s="109">
        <f>(H531/G528)*0.05</f>
        <v>0.33928571428571436</v>
      </c>
    </row>
    <row r="533" spans="2:8" ht="15.75" thickBot="1" x14ac:dyDescent="0.3">
      <c r="B533" s="675"/>
      <c r="C533" s="676"/>
      <c r="D533" s="677" t="s">
        <v>40</v>
      </c>
      <c r="E533" s="678"/>
      <c r="F533" s="154"/>
      <c r="G533" s="155"/>
      <c r="H533" s="125">
        <f>(H531/G528)+H532</f>
        <v>7.1250000000000009</v>
      </c>
    </row>
    <row r="534" spans="2:8" ht="15.75" thickBot="1" x14ac:dyDescent="0.3">
      <c r="B534" s="126"/>
      <c r="C534" s="126"/>
      <c r="D534" s="127"/>
      <c r="E534" s="127"/>
      <c r="F534" s="156"/>
      <c r="G534" s="128"/>
      <c r="H534" s="130"/>
    </row>
    <row r="535" spans="2:8" ht="15.75" thickBot="1" x14ac:dyDescent="0.3">
      <c r="B535" s="42" t="s">
        <v>75</v>
      </c>
      <c r="C535" s="577" t="str">
        <f>C524</f>
        <v>PRIKLJUČKI ZA TOVORNA VOZILA IN TRAKTORJE</v>
      </c>
      <c r="D535" s="578"/>
      <c r="E535" s="578"/>
      <c r="F535" s="578"/>
      <c r="G535" s="578"/>
      <c r="H535" s="579"/>
    </row>
    <row r="536" spans="2:8" ht="23.25" thickBot="1" x14ac:dyDescent="0.3">
      <c r="B536" s="649" t="s">
        <v>36</v>
      </c>
      <c r="C536" s="702"/>
      <c r="D536" s="651" t="s">
        <v>37</v>
      </c>
      <c r="E536" s="652"/>
      <c r="F536" s="189" t="s">
        <v>38</v>
      </c>
      <c r="G536" s="48"/>
      <c r="H536" s="49" t="s">
        <v>41</v>
      </c>
    </row>
    <row r="537" spans="2:8" x14ac:dyDescent="0.25">
      <c r="B537" s="684" t="s">
        <v>469</v>
      </c>
      <c r="C537" s="703"/>
      <c r="D537" s="694" t="str">
        <f>CENIK_št_1!B115</f>
        <v>Plug planer, nakladalec traktorski</v>
      </c>
      <c r="E537" s="695"/>
      <c r="F537" s="204">
        <v>8400</v>
      </c>
      <c r="G537" s="205"/>
      <c r="H537" s="205"/>
    </row>
    <row r="538" spans="2:8" x14ac:dyDescent="0.25">
      <c r="B538" s="54"/>
      <c r="C538" s="55"/>
      <c r="D538" s="735" t="s">
        <v>209</v>
      </c>
      <c r="E538" s="736"/>
      <c r="F538" s="206">
        <v>70</v>
      </c>
      <c r="G538" s="207"/>
      <c r="H538" s="160"/>
    </row>
    <row r="539" spans="2:8" x14ac:dyDescent="0.25">
      <c r="B539" s="705"/>
      <c r="C539" s="706"/>
      <c r="D539" s="704" t="s">
        <v>215</v>
      </c>
      <c r="E539" s="660"/>
      <c r="F539" s="197"/>
      <c r="G539" s="27">
        <v>20</v>
      </c>
      <c r="H539" s="208"/>
    </row>
    <row r="540" spans="2:8" ht="22.5" customHeight="1" x14ac:dyDescent="0.25">
      <c r="B540" s="705"/>
      <c r="C540" s="706"/>
      <c r="D540" s="688" t="s">
        <v>214</v>
      </c>
      <c r="E540" s="689"/>
      <c r="F540" s="197"/>
      <c r="G540" s="24">
        <v>3.5</v>
      </c>
      <c r="H540" s="25">
        <f>G540*G539</f>
        <v>70</v>
      </c>
    </row>
    <row r="541" spans="2:8" ht="15.75" thickBot="1" x14ac:dyDescent="0.3">
      <c r="B541" s="705"/>
      <c r="C541" s="706"/>
      <c r="D541" s="704" t="s">
        <v>164</v>
      </c>
      <c r="E541" s="660"/>
      <c r="F541" s="198"/>
      <c r="G541" s="23"/>
      <c r="H541" s="26">
        <f>F537/F538</f>
        <v>120</v>
      </c>
    </row>
    <row r="542" spans="2:8" ht="15.75" thickTop="1" x14ac:dyDescent="0.25">
      <c r="B542" s="705"/>
      <c r="C542" s="706"/>
      <c r="D542" s="659" t="s">
        <v>158</v>
      </c>
      <c r="E542" s="707"/>
      <c r="F542" s="197"/>
      <c r="G542" s="23"/>
      <c r="H542" s="199">
        <f>SUM(H540:H541)</f>
        <v>190</v>
      </c>
    </row>
    <row r="543" spans="2:8" ht="15.75" thickBot="1" x14ac:dyDescent="0.3">
      <c r="B543" s="708"/>
      <c r="C543" s="709"/>
      <c r="D543" s="710" t="s">
        <v>216</v>
      </c>
      <c r="E543" s="711"/>
      <c r="F543" s="200"/>
      <c r="G543" s="201"/>
      <c r="H543" s="29">
        <f>(H542/G539)*0.05</f>
        <v>0.47500000000000003</v>
      </c>
    </row>
    <row r="544" spans="2:8" ht="15.75" thickBot="1" x14ac:dyDescent="0.3">
      <c r="B544" s="663"/>
      <c r="C544" s="664"/>
      <c r="D544" s="665" t="s">
        <v>40</v>
      </c>
      <c r="E544" s="666"/>
      <c r="F544" s="202"/>
      <c r="G544" s="203"/>
      <c r="H544" s="50">
        <f>(H542/G539)+H543</f>
        <v>9.9749999999999996</v>
      </c>
    </row>
    <row r="545" spans="2:9" ht="15.75" thickBot="1" x14ac:dyDescent="0.3">
      <c r="B545" s="333"/>
      <c r="C545" s="333"/>
      <c r="D545" s="334"/>
      <c r="E545" s="334"/>
      <c r="F545" s="335"/>
      <c r="G545" s="336"/>
      <c r="H545" s="337"/>
      <c r="I545" s="138"/>
    </row>
    <row r="546" spans="2:9" ht="16.5" thickTop="1" thickBot="1" x14ac:dyDescent="0.3"/>
    <row r="547" spans="2:9" ht="15.75" thickBot="1" x14ac:dyDescent="0.3">
      <c r="B547" s="42" t="s">
        <v>90</v>
      </c>
      <c r="C547" s="679" t="str">
        <f>CENIK_št_1!B118</f>
        <v>STROJNO ORODJE (cena brez operaterja)</v>
      </c>
      <c r="D547" s="680"/>
      <c r="E547" s="680"/>
      <c r="F547" s="680"/>
      <c r="G547" s="680"/>
      <c r="H547" s="680"/>
      <c r="I547" s="681"/>
    </row>
    <row r="548" spans="2:9" ht="23.25" thickBot="1" x14ac:dyDescent="0.3">
      <c r="B548" s="682" t="s">
        <v>36</v>
      </c>
      <c r="C548" s="683"/>
      <c r="D548" s="692" t="s">
        <v>37</v>
      </c>
      <c r="E548" s="693"/>
      <c r="F548" s="140" t="s">
        <v>38</v>
      </c>
      <c r="G548" s="100" t="s">
        <v>39</v>
      </c>
      <c r="H548" s="100" t="s">
        <v>40</v>
      </c>
      <c r="I548" s="101" t="s">
        <v>41</v>
      </c>
    </row>
    <row r="549" spans="2:9" x14ac:dyDescent="0.25">
      <c r="B549" s="684" t="s">
        <v>91</v>
      </c>
      <c r="C549" s="685"/>
      <c r="D549" s="694" t="str">
        <f>CENIK_št_1!B119</f>
        <v>Kosilnica širine 100cm</v>
      </c>
      <c r="E549" s="695"/>
      <c r="F549" s="141">
        <v>18000</v>
      </c>
      <c r="G549" s="142"/>
      <c r="H549" s="142"/>
      <c r="I549" s="143"/>
    </row>
    <row r="550" spans="2:9" x14ac:dyDescent="0.25">
      <c r="B550" s="104"/>
      <c r="C550" s="105"/>
      <c r="D550" s="696" t="s">
        <v>209</v>
      </c>
      <c r="E550" s="697"/>
      <c r="F550" s="144">
        <v>96</v>
      </c>
      <c r="G550" s="145"/>
      <c r="H550" s="145"/>
      <c r="I550" s="146"/>
    </row>
    <row r="551" spans="2:9" x14ac:dyDescent="0.25">
      <c r="B551" s="104"/>
      <c r="C551" s="105"/>
      <c r="D551" s="696" t="s">
        <v>208</v>
      </c>
      <c r="E551" s="697"/>
      <c r="F551" s="144">
        <v>30</v>
      </c>
      <c r="G551" s="145"/>
      <c r="H551" s="145"/>
      <c r="I551" s="146"/>
    </row>
    <row r="552" spans="2:9" ht="23.25" customHeight="1" x14ac:dyDescent="0.25">
      <c r="B552" s="667"/>
      <c r="C552" s="668"/>
      <c r="D552" s="698" t="s">
        <v>212</v>
      </c>
      <c r="E552" s="699"/>
      <c r="F552" s="148"/>
      <c r="G552" s="114"/>
      <c r="H552" s="106">
        <v>3.5</v>
      </c>
      <c r="I552" s="107">
        <f>F551*H552</f>
        <v>105</v>
      </c>
    </row>
    <row r="553" spans="2:9" x14ac:dyDescent="0.25">
      <c r="B553" s="667"/>
      <c r="C553" s="668"/>
      <c r="D553" s="700" t="s">
        <v>217</v>
      </c>
      <c r="E553" s="687"/>
      <c r="F553" s="148"/>
      <c r="G553" s="114">
        <v>3</v>
      </c>
      <c r="H553" s="106">
        <v>1.51</v>
      </c>
      <c r="I553" s="116">
        <f>F551*G553*H553</f>
        <v>135.9</v>
      </c>
    </row>
    <row r="554" spans="2:9" ht="15.75" thickBot="1" x14ac:dyDescent="0.3">
      <c r="B554" s="667"/>
      <c r="C554" s="668"/>
      <c r="D554" s="686" t="s">
        <v>164</v>
      </c>
      <c r="E554" s="687"/>
      <c r="F554" s="149"/>
      <c r="G554" s="114"/>
      <c r="H554" s="114"/>
      <c r="I554" s="113">
        <f>F549/F550</f>
        <v>187.5</v>
      </c>
    </row>
    <row r="555" spans="2:9" ht="15.75" thickTop="1" x14ac:dyDescent="0.25">
      <c r="B555" s="667"/>
      <c r="C555" s="668"/>
      <c r="D555" s="669" t="s">
        <v>158</v>
      </c>
      <c r="E555" s="670"/>
      <c r="F555" s="148"/>
      <c r="G555" s="114"/>
      <c r="H555" s="114"/>
      <c r="I555" s="150">
        <f>SUM(I552:I554)</f>
        <v>428.4</v>
      </c>
    </row>
    <row r="556" spans="2:9" ht="15.75" thickBot="1" x14ac:dyDescent="0.3">
      <c r="B556" s="671"/>
      <c r="C556" s="672"/>
      <c r="D556" s="673" t="s">
        <v>207</v>
      </c>
      <c r="E556" s="674"/>
      <c r="F556" s="151"/>
      <c r="G556" s="152"/>
      <c r="H556" s="153"/>
      <c r="I556" s="109">
        <f>(I555/F551)*0.05</f>
        <v>0.71399999999999997</v>
      </c>
    </row>
    <row r="557" spans="2:9" ht="15.75" thickBot="1" x14ac:dyDescent="0.3">
      <c r="B557" s="675"/>
      <c r="C557" s="676"/>
      <c r="D557" s="677" t="s">
        <v>40</v>
      </c>
      <c r="E557" s="678"/>
      <c r="F557" s="154"/>
      <c r="G557" s="123"/>
      <c r="H557" s="155"/>
      <c r="I557" s="125">
        <f>(I555/F551)+I556</f>
        <v>14.994</v>
      </c>
    </row>
    <row r="558" spans="2:9" ht="15.75" thickBot="1" x14ac:dyDescent="0.3"/>
    <row r="559" spans="2:9" ht="15.75" thickBot="1" x14ac:dyDescent="0.3">
      <c r="B559" s="42" t="s">
        <v>90</v>
      </c>
      <c r="C559" s="679" t="str">
        <f>CENIK_št_1!B118</f>
        <v>STROJNO ORODJE (cena brez operaterja)</v>
      </c>
      <c r="D559" s="680"/>
      <c r="E559" s="680"/>
      <c r="F559" s="680"/>
      <c r="G559" s="680"/>
      <c r="H559" s="680"/>
      <c r="I559" s="681"/>
    </row>
    <row r="560" spans="2:9" ht="23.25" thickBot="1" x14ac:dyDescent="0.3">
      <c r="B560" s="682" t="s">
        <v>36</v>
      </c>
      <c r="C560" s="683"/>
      <c r="D560" s="692" t="s">
        <v>37</v>
      </c>
      <c r="E560" s="693"/>
      <c r="F560" s="140" t="s">
        <v>38</v>
      </c>
      <c r="G560" s="100" t="s">
        <v>39</v>
      </c>
      <c r="H560" s="100" t="s">
        <v>40</v>
      </c>
      <c r="I560" s="101" t="s">
        <v>41</v>
      </c>
    </row>
    <row r="561" spans="2:9" ht="27" customHeight="1" x14ac:dyDescent="0.25">
      <c r="B561" s="684" t="s">
        <v>92</v>
      </c>
      <c r="C561" s="685"/>
      <c r="D561" s="694" t="str">
        <f>CENIK_št_1!B120</f>
        <v>Enoosni traktor z mulčarjem ali puhalom</v>
      </c>
      <c r="E561" s="695"/>
      <c r="F561" s="141">
        <v>25000</v>
      </c>
      <c r="G561" s="142"/>
      <c r="H561" s="142"/>
      <c r="I561" s="143"/>
    </row>
    <row r="562" spans="2:9" x14ac:dyDescent="0.25">
      <c r="B562" s="104"/>
      <c r="C562" s="105"/>
      <c r="D562" s="696" t="s">
        <v>209</v>
      </c>
      <c r="E562" s="697"/>
      <c r="F562" s="144">
        <v>84</v>
      </c>
      <c r="G562" s="145"/>
      <c r="H562" s="145"/>
      <c r="I562" s="146"/>
    </row>
    <row r="563" spans="2:9" x14ac:dyDescent="0.25">
      <c r="B563" s="104"/>
      <c r="C563" s="105"/>
      <c r="D563" s="696" t="s">
        <v>208</v>
      </c>
      <c r="E563" s="697"/>
      <c r="F563" s="144">
        <v>22.8</v>
      </c>
      <c r="G563" s="145"/>
      <c r="H563" s="145"/>
      <c r="I563" s="146"/>
    </row>
    <row r="564" spans="2:9" ht="24.75" customHeight="1" x14ac:dyDescent="0.25">
      <c r="B564" s="667"/>
      <c r="C564" s="668"/>
      <c r="D564" s="698" t="s">
        <v>212</v>
      </c>
      <c r="E564" s="699"/>
      <c r="F564" s="148"/>
      <c r="G564" s="114"/>
      <c r="H564" s="106">
        <v>3.5</v>
      </c>
      <c r="I564" s="107">
        <f>F563*H564</f>
        <v>79.8</v>
      </c>
    </row>
    <row r="565" spans="2:9" ht="24" customHeight="1" x14ac:dyDescent="0.25">
      <c r="B565" s="667"/>
      <c r="C565" s="668"/>
      <c r="D565" s="700" t="s">
        <v>344</v>
      </c>
      <c r="E565" s="687"/>
      <c r="F565" s="148"/>
      <c r="G565" s="114">
        <v>3</v>
      </c>
      <c r="H565" s="106">
        <v>1.51</v>
      </c>
      <c r="I565" s="116">
        <f>F563*G565*H565</f>
        <v>103.28400000000001</v>
      </c>
    </row>
    <row r="566" spans="2:9" ht="15.75" thickBot="1" x14ac:dyDescent="0.3">
      <c r="B566" s="667"/>
      <c r="C566" s="668"/>
      <c r="D566" s="686" t="s">
        <v>164</v>
      </c>
      <c r="E566" s="687"/>
      <c r="F566" s="149"/>
      <c r="G566" s="114"/>
      <c r="H566" s="114"/>
      <c r="I566" s="113">
        <f>F561/F562</f>
        <v>297.61904761904759</v>
      </c>
    </row>
    <row r="567" spans="2:9" ht="15.75" thickTop="1" x14ac:dyDescent="0.25">
      <c r="B567" s="667"/>
      <c r="C567" s="668"/>
      <c r="D567" s="669" t="s">
        <v>158</v>
      </c>
      <c r="E567" s="670"/>
      <c r="F567" s="148"/>
      <c r="G567" s="114"/>
      <c r="H567" s="114"/>
      <c r="I567" s="150">
        <f>SUM(I564:I566)</f>
        <v>480.7030476190476</v>
      </c>
    </row>
    <row r="568" spans="2:9" ht="15.75" thickBot="1" x14ac:dyDescent="0.3">
      <c r="B568" s="671"/>
      <c r="C568" s="672"/>
      <c r="D568" s="673" t="s">
        <v>207</v>
      </c>
      <c r="E568" s="674"/>
      <c r="F568" s="151"/>
      <c r="G568" s="152"/>
      <c r="H568" s="153"/>
      <c r="I568" s="109">
        <f>(I567/F563)*0.05</f>
        <v>1.0541733500417709</v>
      </c>
    </row>
    <row r="569" spans="2:9" ht="15.75" thickBot="1" x14ac:dyDescent="0.3">
      <c r="B569" s="675"/>
      <c r="C569" s="676"/>
      <c r="D569" s="677" t="s">
        <v>40</v>
      </c>
      <c r="E569" s="678"/>
      <c r="F569" s="154"/>
      <c r="G569" s="123"/>
      <c r="H569" s="155"/>
      <c r="I569" s="125">
        <f>(I567/F563)+I568</f>
        <v>22.137640350877192</v>
      </c>
    </row>
    <row r="570" spans="2:9" x14ac:dyDescent="0.25">
      <c r="B570" s="126"/>
      <c r="C570" s="126"/>
      <c r="D570" s="127"/>
      <c r="E570" s="127"/>
      <c r="F570" s="156"/>
      <c r="G570" s="128"/>
      <c r="H570" s="128"/>
      <c r="I570" s="130"/>
    </row>
    <row r="571" spans="2:9" ht="15.75" thickBot="1" x14ac:dyDescent="0.3"/>
    <row r="572" spans="2:9" ht="15.75" thickBot="1" x14ac:dyDescent="0.3">
      <c r="B572" s="42" t="s">
        <v>90</v>
      </c>
      <c r="C572" s="679" t="str">
        <f>C559</f>
        <v>STROJNO ORODJE (cena brez operaterja)</v>
      </c>
      <c r="D572" s="680"/>
      <c r="E572" s="680"/>
      <c r="F572" s="680"/>
      <c r="G572" s="680"/>
      <c r="H572" s="680"/>
      <c r="I572" s="681"/>
    </row>
    <row r="573" spans="2:9" ht="23.25" thickBot="1" x14ac:dyDescent="0.3">
      <c r="B573" s="682" t="s">
        <v>36</v>
      </c>
      <c r="C573" s="683"/>
      <c r="D573" s="692" t="s">
        <v>37</v>
      </c>
      <c r="E573" s="693"/>
      <c r="F573" s="140" t="s">
        <v>38</v>
      </c>
      <c r="G573" s="100" t="s">
        <v>39</v>
      </c>
      <c r="H573" s="100" t="s">
        <v>40</v>
      </c>
      <c r="I573" s="101" t="s">
        <v>41</v>
      </c>
    </row>
    <row r="574" spans="2:9" x14ac:dyDescent="0.25">
      <c r="B574" s="684" t="s">
        <v>93</v>
      </c>
      <c r="C574" s="685"/>
      <c r="D574" s="694" t="str">
        <f>CENIK_št_1!B121</f>
        <v>Ročna kosilnica mulčar</v>
      </c>
      <c r="E574" s="695"/>
      <c r="F574" s="141">
        <v>1050</v>
      </c>
      <c r="G574" s="142"/>
      <c r="H574" s="142"/>
      <c r="I574" s="143"/>
    </row>
    <row r="575" spans="2:9" x14ac:dyDescent="0.25">
      <c r="B575" s="104"/>
      <c r="C575" s="105"/>
      <c r="D575" s="696" t="s">
        <v>209</v>
      </c>
      <c r="E575" s="697"/>
      <c r="F575" s="144">
        <v>24</v>
      </c>
      <c r="G575" s="145"/>
      <c r="H575" s="145"/>
      <c r="I575" s="146"/>
    </row>
    <row r="576" spans="2:9" x14ac:dyDescent="0.25">
      <c r="B576" s="104"/>
      <c r="C576" s="105"/>
      <c r="D576" s="696" t="s">
        <v>208</v>
      </c>
      <c r="E576" s="697"/>
      <c r="F576" s="144">
        <v>20</v>
      </c>
      <c r="G576" s="145"/>
      <c r="H576" s="145"/>
      <c r="I576" s="146"/>
    </row>
    <row r="577" spans="2:9" ht="24.75" customHeight="1" x14ac:dyDescent="0.25">
      <c r="B577" s="667"/>
      <c r="C577" s="668"/>
      <c r="D577" s="698" t="s">
        <v>212</v>
      </c>
      <c r="E577" s="699"/>
      <c r="F577" s="148"/>
      <c r="G577" s="114"/>
      <c r="H577" s="106">
        <v>3</v>
      </c>
      <c r="I577" s="107">
        <f>F576*H577</f>
        <v>60</v>
      </c>
    </row>
    <row r="578" spans="2:9" ht="21.75" customHeight="1" x14ac:dyDescent="0.25">
      <c r="B578" s="667"/>
      <c r="C578" s="668"/>
      <c r="D578" s="700" t="s">
        <v>344</v>
      </c>
      <c r="E578" s="687"/>
      <c r="F578" s="148"/>
      <c r="G578" s="114">
        <v>2</v>
      </c>
      <c r="H578" s="106">
        <v>1.51</v>
      </c>
      <c r="I578" s="116">
        <f>F576*G578*H578</f>
        <v>60.4</v>
      </c>
    </row>
    <row r="579" spans="2:9" ht="15.75" thickBot="1" x14ac:dyDescent="0.3">
      <c r="B579" s="667"/>
      <c r="C579" s="668"/>
      <c r="D579" s="686" t="s">
        <v>164</v>
      </c>
      <c r="E579" s="687"/>
      <c r="F579" s="149"/>
      <c r="G579" s="114"/>
      <c r="H579" s="114"/>
      <c r="I579" s="113">
        <f>F574/F575</f>
        <v>43.75</v>
      </c>
    </row>
    <row r="580" spans="2:9" ht="15.75" thickTop="1" x14ac:dyDescent="0.25">
      <c r="B580" s="667"/>
      <c r="C580" s="668"/>
      <c r="D580" s="669" t="s">
        <v>158</v>
      </c>
      <c r="E580" s="670"/>
      <c r="F580" s="148"/>
      <c r="G580" s="114"/>
      <c r="H580" s="114"/>
      <c r="I580" s="150">
        <f>SUM(I577:I579)</f>
        <v>164.15</v>
      </c>
    </row>
    <row r="581" spans="2:9" ht="15.75" thickBot="1" x14ac:dyDescent="0.3">
      <c r="B581" s="671"/>
      <c r="C581" s="672"/>
      <c r="D581" s="673" t="s">
        <v>207</v>
      </c>
      <c r="E581" s="674"/>
      <c r="F581" s="151"/>
      <c r="G581" s="152"/>
      <c r="H581" s="153"/>
      <c r="I581" s="109">
        <f>(I580/F576)*0.05</f>
        <v>0.41037499999999999</v>
      </c>
    </row>
    <row r="582" spans="2:9" ht="15.75" thickBot="1" x14ac:dyDescent="0.3">
      <c r="B582" s="675"/>
      <c r="C582" s="676"/>
      <c r="D582" s="677" t="s">
        <v>40</v>
      </c>
      <c r="E582" s="678"/>
      <c r="F582" s="154"/>
      <c r="G582" s="123"/>
      <c r="H582" s="155"/>
      <c r="I582" s="125">
        <f>(I580/F576)+I581</f>
        <v>8.6178749999999997</v>
      </c>
    </row>
    <row r="583" spans="2:9" ht="15.75" thickBot="1" x14ac:dyDescent="0.3"/>
    <row r="584" spans="2:9" ht="15.75" thickBot="1" x14ac:dyDescent="0.3">
      <c r="B584" s="42" t="s">
        <v>90</v>
      </c>
      <c r="C584" s="679" t="str">
        <f>C572</f>
        <v>STROJNO ORODJE (cena brez operaterja)</v>
      </c>
      <c r="D584" s="680"/>
      <c r="E584" s="680"/>
      <c r="F584" s="680"/>
      <c r="G584" s="680"/>
      <c r="H584" s="680"/>
      <c r="I584" s="681"/>
    </row>
    <row r="585" spans="2:9" ht="23.25" thickBot="1" x14ac:dyDescent="0.3">
      <c r="B585" s="682" t="s">
        <v>36</v>
      </c>
      <c r="C585" s="683"/>
      <c r="D585" s="692" t="s">
        <v>37</v>
      </c>
      <c r="E585" s="693"/>
      <c r="F585" s="140" t="s">
        <v>38</v>
      </c>
      <c r="G585" s="100" t="s">
        <v>39</v>
      </c>
      <c r="H585" s="100" t="s">
        <v>40</v>
      </c>
      <c r="I585" s="101" t="s">
        <v>41</v>
      </c>
    </row>
    <row r="586" spans="2:9" x14ac:dyDescent="0.25">
      <c r="B586" s="684" t="s">
        <v>94</v>
      </c>
      <c r="C586" s="685"/>
      <c r="D586" s="694" t="str">
        <f>CENIK_št_1!B122</f>
        <v>Ročna motorna kosa</v>
      </c>
      <c r="E586" s="695"/>
      <c r="F586" s="141">
        <v>1050</v>
      </c>
      <c r="G586" s="142"/>
      <c r="H586" s="142"/>
      <c r="I586" s="143"/>
    </row>
    <row r="587" spans="2:9" x14ac:dyDescent="0.25">
      <c r="B587" s="104"/>
      <c r="C587" s="105"/>
      <c r="D587" s="696" t="s">
        <v>209</v>
      </c>
      <c r="E587" s="697"/>
      <c r="F587" s="144">
        <v>24</v>
      </c>
      <c r="G587" s="145"/>
      <c r="H587" s="145"/>
      <c r="I587" s="146"/>
    </row>
    <row r="588" spans="2:9" x14ac:dyDescent="0.25">
      <c r="B588" s="104"/>
      <c r="C588" s="105"/>
      <c r="D588" s="696" t="s">
        <v>208</v>
      </c>
      <c r="E588" s="697"/>
      <c r="F588" s="144">
        <v>20</v>
      </c>
      <c r="G588" s="145"/>
      <c r="H588" s="145"/>
      <c r="I588" s="146"/>
    </row>
    <row r="589" spans="2:9" ht="27" customHeight="1" x14ac:dyDescent="0.25">
      <c r="B589" s="667"/>
      <c r="C589" s="668"/>
      <c r="D589" s="698" t="s">
        <v>212</v>
      </c>
      <c r="E589" s="699"/>
      <c r="F589" s="148"/>
      <c r="G589" s="114"/>
      <c r="H589" s="106">
        <v>3</v>
      </c>
      <c r="I589" s="107">
        <f>F588*H589</f>
        <v>60</v>
      </c>
    </row>
    <row r="590" spans="2:9" ht="21.75" customHeight="1" x14ac:dyDescent="0.25">
      <c r="B590" s="667"/>
      <c r="C590" s="668"/>
      <c r="D590" s="700" t="s">
        <v>344</v>
      </c>
      <c r="E590" s="687"/>
      <c r="F590" s="148"/>
      <c r="G590" s="114">
        <v>1.5</v>
      </c>
      <c r="H590" s="106">
        <v>1.51</v>
      </c>
      <c r="I590" s="116">
        <f>F588*G590*H590</f>
        <v>45.3</v>
      </c>
    </row>
    <row r="591" spans="2:9" ht="15.75" thickBot="1" x14ac:dyDescent="0.3">
      <c r="B591" s="667"/>
      <c r="C591" s="668"/>
      <c r="D591" s="686" t="s">
        <v>164</v>
      </c>
      <c r="E591" s="687"/>
      <c r="F591" s="149"/>
      <c r="G591" s="114"/>
      <c r="H591" s="114"/>
      <c r="I591" s="113">
        <f>F586/F587</f>
        <v>43.75</v>
      </c>
    </row>
    <row r="592" spans="2:9" ht="15.75" thickTop="1" x14ac:dyDescent="0.25">
      <c r="B592" s="667"/>
      <c r="C592" s="668"/>
      <c r="D592" s="669" t="s">
        <v>158</v>
      </c>
      <c r="E592" s="670"/>
      <c r="F592" s="148"/>
      <c r="G592" s="114"/>
      <c r="H592" s="114"/>
      <c r="I592" s="150">
        <f>SUM(I589:I591)</f>
        <v>149.05000000000001</v>
      </c>
    </row>
    <row r="593" spans="2:9" ht="15.75" thickBot="1" x14ac:dyDescent="0.3">
      <c r="B593" s="671"/>
      <c r="C593" s="672"/>
      <c r="D593" s="673" t="s">
        <v>207</v>
      </c>
      <c r="E593" s="674"/>
      <c r="F593" s="151"/>
      <c r="G593" s="152"/>
      <c r="H593" s="153"/>
      <c r="I593" s="109">
        <f>(I592/F588)*0.05</f>
        <v>0.37262500000000004</v>
      </c>
    </row>
    <row r="594" spans="2:9" ht="15.75" thickBot="1" x14ac:dyDescent="0.3">
      <c r="B594" s="675"/>
      <c r="C594" s="676"/>
      <c r="D594" s="677" t="s">
        <v>40</v>
      </c>
      <c r="E594" s="678"/>
      <c r="F594" s="154"/>
      <c r="G594" s="123"/>
      <c r="H594" s="155"/>
      <c r="I594" s="125">
        <f>(I592/F588)+I593</f>
        <v>7.8251250000000008</v>
      </c>
    </row>
    <row r="595" spans="2:9" ht="15.75" thickBot="1" x14ac:dyDescent="0.3"/>
    <row r="596" spans="2:9" ht="15.75" thickBot="1" x14ac:dyDescent="0.3">
      <c r="B596" s="42" t="s">
        <v>90</v>
      </c>
      <c r="C596" s="679" t="str">
        <f>C584</f>
        <v>STROJNO ORODJE (cena brez operaterja)</v>
      </c>
      <c r="D596" s="680"/>
      <c r="E596" s="680"/>
      <c r="F596" s="680"/>
      <c r="G596" s="680"/>
      <c r="H596" s="680"/>
      <c r="I596" s="681"/>
    </row>
    <row r="597" spans="2:9" ht="23.25" thickBot="1" x14ac:dyDescent="0.3">
      <c r="B597" s="682" t="s">
        <v>36</v>
      </c>
      <c r="C597" s="683"/>
      <c r="D597" s="692" t="s">
        <v>37</v>
      </c>
      <c r="E597" s="693"/>
      <c r="F597" s="140" t="s">
        <v>38</v>
      </c>
      <c r="G597" s="100" t="s">
        <v>39</v>
      </c>
      <c r="H597" s="100" t="s">
        <v>40</v>
      </c>
      <c r="I597" s="101" t="s">
        <v>41</v>
      </c>
    </row>
    <row r="598" spans="2:9" x14ac:dyDescent="0.25">
      <c r="B598" s="684" t="s">
        <v>95</v>
      </c>
      <c r="C598" s="685"/>
      <c r="D598" s="694" t="str">
        <f>CENIK_št_1!B123</f>
        <v>Ročne motorne škarje</v>
      </c>
      <c r="E598" s="695"/>
      <c r="F598" s="141">
        <v>1050</v>
      </c>
      <c r="G598" s="142"/>
      <c r="H598" s="142"/>
      <c r="I598" s="143"/>
    </row>
    <row r="599" spans="2:9" x14ac:dyDescent="0.25">
      <c r="B599" s="104"/>
      <c r="C599" s="105"/>
      <c r="D599" s="696" t="s">
        <v>209</v>
      </c>
      <c r="E599" s="697"/>
      <c r="F599" s="144">
        <v>24</v>
      </c>
      <c r="G599" s="145"/>
      <c r="H599" s="145"/>
      <c r="I599" s="146"/>
    </row>
    <row r="600" spans="2:9" x14ac:dyDescent="0.25">
      <c r="B600" s="104"/>
      <c r="C600" s="105"/>
      <c r="D600" s="696" t="s">
        <v>208</v>
      </c>
      <c r="E600" s="697"/>
      <c r="F600" s="144">
        <v>20</v>
      </c>
      <c r="G600" s="145"/>
      <c r="H600" s="145"/>
      <c r="I600" s="146"/>
    </row>
    <row r="601" spans="2:9" ht="22.5" customHeight="1" x14ac:dyDescent="0.25">
      <c r="B601" s="667"/>
      <c r="C601" s="668"/>
      <c r="D601" s="698" t="s">
        <v>212</v>
      </c>
      <c r="E601" s="699"/>
      <c r="F601" s="148"/>
      <c r="G601" s="114"/>
      <c r="H601" s="106">
        <v>3</v>
      </c>
      <c r="I601" s="107">
        <f>F600*H601</f>
        <v>60</v>
      </c>
    </row>
    <row r="602" spans="2:9" ht="21.75" customHeight="1" x14ac:dyDescent="0.25">
      <c r="B602" s="667"/>
      <c r="C602" s="668"/>
      <c r="D602" s="700" t="s">
        <v>344</v>
      </c>
      <c r="E602" s="687"/>
      <c r="F602" s="148"/>
      <c r="G602" s="114">
        <v>1.5</v>
      </c>
      <c r="H602" s="106">
        <v>1.51</v>
      </c>
      <c r="I602" s="116">
        <f>F600*G602*H602</f>
        <v>45.3</v>
      </c>
    </row>
    <row r="603" spans="2:9" ht="15.75" thickBot="1" x14ac:dyDescent="0.3">
      <c r="B603" s="667"/>
      <c r="C603" s="668"/>
      <c r="D603" s="686" t="s">
        <v>164</v>
      </c>
      <c r="E603" s="687"/>
      <c r="F603" s="149"/>
      <c r="G603" s="114"/>
      <c r="H603" s="114"/>
      <c r="I603" s="113">
        <f>F598/F599</f>
        <v>43.75</v>
      </c>
    </row>
    <row r="604" spans="2:9" ht="15.75" thickTop="1" x14ac:dyDescent="0.25">
      <c r="B604" s="667"/>
      <c r="C604" s="668"/>
      <c r="D604" s="669" t="s">
        <v>158</v>
      </c>
      <c r="E604" s="670"/>
      <c r="F604" s="148"/>
      <c r="G604" s="114"/>
      <c r="H604" s="114"/>
      <c r="I604" s="150">
        <f>SUM(I601:I603)</f>
        <v>149.05000000000001</v>
      </c>
    </row>
    <row r="605" spans="2:9" ht="15.75" thickBot="1" x14ac:dyDescent="0.3">
      <c r="B605" s="671"/>
      <c r="C605" s="672"/>
      <c r="D605" s="673" t="s">
        <v>207</v>
      </c>
      <c r="E605" s="674"/>
      <c r="F605" s="151"/>
      <c r="G605" s="152"/>
      <c r="H605" s="153"/>
      <c r="I605" s="109">
        <f>(I604/F600)*0.05</f>
        <v>0.37262500000000004</v>
      </c>
    </row>
    <row r="606" spans="2:9" ht="15.75" thickBot="1" x14ac:dyDescent="0.3">
      <c r="B606" s="675"/>
      <c r="C606" s="676"/>
      <c r="D606" s="677" t="s">
        <v>40</v>
      </c>
      <c r="E606" s="678"/>
      <c r="F606" s="154"/>
      <c r="G606" s="123"/>
      <c r="H606" s="155"/>
      <c r="I606" s="125">
        <f>(I604/F600)+I605</f>
        <v>7.8251250000000008</v>
      </c>
    </row>
    <row r="607" spans="2:9" ht="15.75" thickBot="1" x14ac:dyDescent="0.3"/>
    <row r="608" spans="2:9" ht="15.75" thickBot="1" x14ac:dyDescent="0.3">
      <c r="B608" s="42" t="s">
        <v>90</v>
      </c>
      <c r="C608" s="679" t="str">
        <f>C596</f>
        <v>STROJNO ORODJE (cena brez operaterja)</v>
      </c>
      <c r="D608" s="680"/>
      <c r="E608" s="680"/>
      <c r="F608" s="680"/>
      <c r="G608" s="680"/>
      <c r="H608" s="680"/>
      <c r="I608" s="681"/>
    </row>
    <row r="609" spans="2:9" ht="23.25" thickBot="1" x14ac:dyDescent="0.3">
      <c r="B609" s="682" t="s">
        <v>36</v>
      </c>
      <c r="C609" s="683"/>
      <c r="D609" s="692" t="s">
        <v>37</v>
      </c>
      <c r="E609" s="693"/>
      <c r="F609" s="140" t="s">
        <v>38</v>
      </c>
      <c r="G609" s="100" t="s">
        <v>39</v>
      </c>
      <c r="H609" s="100" t="s">
        <v>40</v>
      </c>
      <c r="I609" s="101" t="s">
        <v>41</v>
      </c>
    </row>
    <row r="610" spans="2:9" x14ac:dyDescent="0.25">
      <c r="B610" s="684" t="s">
        <v>96</v>
      </c>
      <c r="C610" s="685"/>
      <c r="D610" s="694" t="str">
        <f>CENIK_št_1!B124</f>
        <v>Motorna žaga</v>
      </c>
      <c r="E610" s="695"/>
      <c r="F610" s="141">
        <v>1050</v>
      </c>
      <c r="G610" s="142"/>
      <c r="H610" s="142"/>
      <c r="I610" s="143"/>
    </row>
    <row r="611" spans="2:9" x14ac:dyDescent="0.25">
      <c r="B611" s="104"/>
      <c r="C611" s="105"/>
      <c r="D611" s="696" t="s">
        <v>209</v>
      </c>
      <c r="E611" s="697"/>
      <c r="F611" s="144">
        <v>24</v>
      </c>
      <c r="G611" s="145"/>
      <c r="H611" s="145"/>
      <c r="I611" s="146"/>
    </row>
    <row r="612" spans="2:9" x14ac:dyDescent="0.25">
      <c r="B612" s="104"/>
      <c r="C612" s="105"/>
      <c r="D612" s="696" t="s">
        <v>208</v>
      </c>
      <c r="E612" s="697"/>
      <c r="F612" s="144">
        <v>20</v>
      </c>
      <c r="G612" s="145"/>
      <c r="H612" s="145"/>
      <c r="I612" s="146"/>
    </row>
    <row r="613" spans="2:9" ht="22.5" customHeight="1" x14ac:dyDescent="0.25">
      <c r="B613" s="667"/>
      <c r="C613" s="668"/>
      <c r="D613" s="698" t="s">
        <v>212</v>
      </c>
      <c r="E613" s="699"/>
      <c r="F613" s="148"/>
      <c r="G613" s="114"/>
      <c r="H613" s="106">
        <v>3</v>
      </c>
      <c r="I613" s="107">
        <f>F612*H613</f>
        <v>60</v>
      </c>
    </row>
    <row r="614" spans="2:9" ht="21.75" customHeight="1" x14ac:dyDescent="0.25">
      <c r="B614" s="667"/>
      <c r="C614" s="668"/>
      <c r="D614" s="700" t="s">
        <v>344</v>
      </c>
      <c r="E614" s="687"/>
      <c r="F614" s="148"/>
      <c r="G614" s="114">
        <v>1.5</v>
      </c>
      <c r="H614" s="106">
        <v>1.51</v>
      </c>
      <c r="I614" s="116">
        <f>F612*G614*H614</f>
        <v>45.3</v>
      </c>
    </row>
    <row r="615" spans="2:9" ht="15.75" thickBot="1" x14ac:dyDescent="0.3">
      <c r="B615" s="667"/>
      <c r="C615" s="668"/>
      <c r="D615" s="686" t="s">
        <v>164</v>
      </c>
      <c r="E615" s="687"/>
      <c r="F615" s="149"/>
      <c r="G615" s="114"/>
      <c r="H615" s="114"/>
      <c r="I615" s="113">
        <f>F610/F611</f>
        <v>43.75</v>
      </c>
    </row>
    <row r="616" spans="2:9" ht="15.75" thickTop="1" x14ac:dyDescent="0.25">
      <c r="B616" s="667"/>
      <c r="C616" s="668"/>
      <c r="D616" s="669" t="s">
        <v>158</v>
      </c>
      <c r="E616" s="670"/>
      <c r="F616" s="148"/>
      <c r="G616" s="114"/>
      <c r="H616" s="114"/>
      <c r="I616" s="150">
        <f>SUM(I613:I615)</f>
        <v>149.05000000000001</v>
      </c>
    </row>
    <row r="617" spans="2:9" ht="15.75" thickBot="1" x14ac:dyDescent="0.3">
      <c r="B617" s="671"/>
      <c r="C617" s="672"/>
      <c r="D617" s="673" t="s">
        <v>207</v>
      </c>
      <c r="E617" s="674"/>
      <c r="F617" s="151"/>
      <c r="G617" s="152"/>
      <c r="H617" s="153"/>
      <c r="I617" s="109">
        <f>(I616/F612)*0.05</f>
        <v>0.37262500000000004</v>
      </c>
    </row>
    <row r="618" spans="2:9" ht="15.75" thickBot="1" x14ac:dyDescent="0.3">
      <c r="B618" s="675"/>
      <c r="C618" s="676"/>
      <c r="D618" s="677" t="s">
        <v>40</v>
      </c>
      <c r="E618" s="678"/>
      <c r="F618" s="154"/>
      <c r="G618" s="123"/>
      <c r="H618" s="155"/>
      <c r="I618" s="125">
        <f>(I616/F612)+I617</f>
        <v>7.8251250000000008</v>
      </c>
    </row>
    <row r="619" spans="2:9" x14ac:dyDescent="0.25">
      <c r="B619" s="126"/>
      <c r="C619" s="126"/>
      <c r="D619" s="127"/>
      <c r="E619" s="127"/>
      <c r="F619" s="156"/>
      <c r="G619" s="128"/>
      <c r="H619" s="128"/>
      <c r="I619" s="130"/>
    </row>
    <row r="620" spans="2:9" ht="15.75" thickBot="1" x14ac:dyDescent="0.3"/>
    <row r="621" spans="2:9" ht="15.75" thickBot="1" x14ac:dyDescent="0.3">
      <c r="B621" s="42" t="s">
        <v>90</v>
      </c>
      <c r="C621" s="679" t="str">
        <f>C608</f>
        <v>STROJNO ORODJE (cena brez operaterja)</v>
      </c>
      <c r="D621" s="680"/>
      <c r="E621" s="680"/>
      <c r="F621" s="680"/>
      <c r="G621" s="680"/>
      <c r="H621" s="680"/>
      <c r="I621" s="681"/>
    </row>
    <row r="622" spans="2:9" ht="23.25" thickBot="1" x14ac:dyDescent="0.3">
      <c r="B622" s="682" t="s">
        <v>36</v>
      </c>
      <c r="C622" s="683"/>
      <c r="D622" s="692" t="s">
        <v>37</v>
      </c>
      <c r="E622" s="693"/>
      <c r="F622" s="140" t="s">
        <v>38</v>
      </c>
      <c r="G622" s="100" t="s">
        <v>39</v>
      </c>
      <c r="H622" s="100" t="s">
        <v>40</v>
      </c>
      <c r="I622" s="101" t="s">
        <v>41</v>
      </c>
    </row>
    <row r="623" spans="2:9" x14ac:dyDescent="0.25">
      <c r="B623" s="684" t="s">
        <v>97</v>
      </c>
      <c r="C623" s="685"/>
      <c r="D623" s="694" t="str">
        <f>CENIK_št_1!B125</f>
        <v>Pihalnik listja</v>
      </c>
      <c r="E623" s="695"/>
      <c r="F623" s="141">
        <v>1050</v>
      </c>
      <c r="G623" s="142"/>
      <c r="H623" s="142"/>
      <c r="I623" s="143"/>
    </row>
    <row r="624" spans="2:9" x14ac:dyDescent="0.25">
      <c r="B624" s="104"/>
      <c r="C624" s="105"/>
      <c r="D624" s="696" t="s">
        <v>209</v>
      </c>
      <c r="E624" s="697"/>
      <c r="F624" s="144">
        <v>24</v>
      </c>
      <c r="G624" s="145"/>
      <c r="H624" s="145"/>
      <c r="I624" s="146"/>
    </row>
    <row r="625" spans="2:9" x14ac:dyDescent="0.25">
      <c r="B625" s="104"/>
      <c r="C625" s="105"/>
      <c r="D625" s="696" t="s">
        <v>208</v>
      </c>
      <c r="E625" s="697"/>
      <c r="F625" s="144">
        <v>20</v>
      </c>
      <c r="G625" s="145"/>
      <c r="H625" s="145"/>
      <c r="I625" s="146"/>
    </row>
    <row r="626" spans="2:9" ht="25.5" customHeight="1" x14ac:dyDescent="0.25">
      <c r="B626" s="667"/>
      <c r="C626" s="668"/>
      <c r="D626" s="698" t="s">
        <v>212</v>
      </c>
      <c r="E626" s="699"/>
      <c r="F626" s="148"/>
      <c r="G626" s="114"/>
      <c r="H626" s="106">
        <v>2.5</v>
      </c>
      <c r="I626" s="107">
        <f>F625*H626</f>
        <v>50</v>
      </c>
    </row>
    <row r="627" spans="2:9" ht="21.75" customHeight="1" x14ac:dyDescent="0.25">
      <c r="B627" s="667"/>
      <c r="C627" s="668"/>
      <c r="D627" s="700" t="s">
        <v>344</v>
      </c>
      <c r="E627" s="687"/>
      <c r="F627" s="148"/>
      <c r="G627" s="114">
        <v>3</v>
      </c>
      <c r="H627" s="106">
        <v>1.51</v>
      </c>
      <c r="I627" s="116">
        <f>F625*G627*H627</f>
        <v>90.6</v>
      </c>
    </row>
    <row r="628" spans="2:9" ht="15.75" thickBot="1" x14ac:dyDescent="0.3">
      <c r="B628" s="667"/>
      <c r="C628" s="668"/>
      <c r="D628" s="686" t="s">
        <v>164</v>
      </c>
      <c r="E628" s="687"/>
      <c r="F628" s="149"/>
      <c r="G628" s="114"/>
      <c r="H628" s="114"/>
      <c r="I628" s="113">
        <f>F623/F624</f>
        <v>43.75</v>
      </c>
    </row>
    <row r="629" spans="2:9" ht="15.75" thickTop="1" x14ac:dyDescent="0.25">
      <c r="B629" s="667"/>
      <c r="C629" s="668"/>
      <c r="D629" s="669" t="s">
        <v>158</v>
      </c>
      <c r="E629" s="670"/>
      <c r="F629" s="148"/>
      <c r="G629" s="114"/>
      <c r="H629" s="114"/>
      <c r="I629" s="150">
        <f>SUM(I626:I628)</f>
        <v>184.35</v>
      </c>
    </row>
    <row r="630" spans="2:9" ht="15.75" thickBot="1" x14ac:dyDescent="0.3">
      <c r="B630" s="671"/>
      <c r="C630" s="672"/>
      <c r="D630" s="673" t="s">
        <v>207</v>
      </c>
      <c r="E630" s="674"/>
      <c r="F630" s="151"/>
      <c r="G630" s="152"/>
      <c r="H630" s="153"/>
      <c r="I630" s="109">
        <f>(I629/F625)*0.05</f>
        <v>0.46087499999999998</v>
      </c>
    </row>
    <row r="631" spans="2:9" ht="15.75" thickBot="1" x14ac:dyDescent="0.3">
      <c r="B631" s="675"/>
      <c r="C631" s="676"/>
      <c r="D631" s="677" t="s">
        <v>40</v>
      </c>
      <c r="E631" s="678"/>
      <c r="F631" s="154"/>
      <c r="G631" s="123"/>
      <c r="H631" s="155"/>
      <c r="I631" s="125">
        <f>(I629/F625)+I630</f>
        <v>9.6783749999999991</v>
      </c>
    </row>
    <row r="632" spans="2:9" ht="15.75" thickBot="1" x14ac:dyDescent="0.3"/>
    <row r="633" spans="2:9" ht="15.75" thickBot="1" x14ac:dyDescent="0.3">
      <c r="B633" s="42" t="s">
        <v>90</v>
      </c>
      <c r="C633" s="679" t="str">
        <f>C621</f>
        <v>STROJNO ORODJE (cena brez operaterja)</v>
      </c>
      <c r="D633" s="680"/>
      <c r="E633" s="680"/>
      <c r="F633" s="680"/>
      <c r="G633" s="680"/>
      <c r="H633" s="680"/>
      <c r="I633" s="681"/>
    </row>
    <row r="634" spans="2:9" ht="23.25" thickBot="1" x14ac:dyDescent="0.3">
      <c r="B634" s="682" t="s">
        <v>36</v>
      </c>
      <c r="C634" s="683"/>
      <c r="D634" s="692" t="s">
        <v>37</v>
      </c>
      <c r="E634" s="693"/>
      <c r="F634" s="140" t="s">
        <v>38</v>
      </c>
      <c r="G634" s="100" t="s">
        <v>39</v>
      </c>
      <c r="H634" s="100" t="s">
        <v>40</v>
      </c>
      <c r="I634" s="101" t="s">
        <v>41</v>
      </c>
    </row>
    <row r="635" spans="2:9" x14ac:dyDescent="0.25">
      <c r="B635" s="684" t="s">
        <v>98</v>
      </c>
      <c r="C635" s="685"/>
      <c r="D635" s="694" t="str">
        <f>CENIK_št_1!B126</f>
        <v>Višinski obrezovalnik vej</v>
      </c>
      <c r="E635" s="695"/>
      <c r="F635" s="141">
        <v>1750</v>
      </c>
      <c r="G635" s="142"/>
      <c r="H635" s="142"/>
      <c r="I635" s="143"/>
    </row>
    <row r="636" spans="2:9" x14ac:dyDescent="0.25">
      <c r="B636" s="104"/>
      <c r="C636" s="105"/>
      <c r="D636" s="696" t="s">
        <v>209</v>
      </c>
      <c r="E636" s="697"/>
      <c r="F636" s="144">
        <v>24</v>
      </c>
      <c r="G636" s="145"/>
      <c r="H636" s="145"/>
      <c r="I636" s="146"/>
    </row>
    <row r="637" spans="2:9" x14ac:dyDescent="0.25">
      <c r="B637" s="104"/>
      <c r="C637" s="105"/>
      <c r="D637" s="696" t="s">
        <v>208</v>
      </c>
      <c r="E637" s="697"/>
      <c r="F637" s="144">
        <v>20</v>
      </c>
      <c r="G637" s="145"/>
      <c r="H637" s="145"/>
      <c r="I637" s="146"/>
    </row>
    <row r="638" spans="2:9" ht="23.25" customHeight="1" x14ac:dyDescent="0.25">
      <c r="B638" s="667"/>
      <c r="C638" s="668"/>
      <c r="D638" s="698" t="s">
        <v>212</v>
      </c>
      <c r="E638" s="699"/>
      <c r="F638" s="148"/>
      <c r="G638" s="114"/>
      <c r="H638" s="106">
        <v>2.29</v>
      </c>
      <c r="I638" s="107">
        <f>F637*H638</f>
        <v>45.8</v>
      </c>
    </row>
    <row r="639" spans="2:9" ht="21.75" customHeight="1" x14ac:dyDescent="0.25">
      <c r="B639" s="667"/>
      <c r="C639" s="668"/>
      <c r="D639" s="700" t="s">
        <v>344</v>
      </c>
      <c r="E639" s="687"/>
      <c r="F639" s="148"/>
      <c r="G639" s="114">
        <v>2</v>
      </c>
      <c r="H639" s="106">
        <v>1.5109999999999999</v>
      </c>
      <c r="I639" s="116">
        <f>F637*G639*H639</f>
        <v>60.44</v>
      </c>
    </row>
    <row r="640" spans="2:9" ht="15.75" thickBot="1" x14ac:dyDescent="0.3">
      <c r="B640" s="667"/>
      <c r="C640" s="668"/>
      <c r="D640" s="686" t="s">
        <v>164</v>
      </c>
      <c r="E640" s="687"/>
      <c r="F640" s="149"/>
      <c r="G640" s="114"/>
      <c r="H640" s="114"/>
      <c r="I640" s="113">
        <f>F635/F636</f>
        <v>72.916666666666671</v>
      </c>
    </row>
    <row r="641" spans="2:9" ht="15.75" thickTop="1" x14ac:dyDescent="0.25">
      <c r="B641" s="667"/>
      <c r="C641" s="668"/>
      <c r="D641" s="669" t="s">
        <v>158</v>
      </c>
      <c r="E641" s="670"/>
      <c r="F641" s="148"/>
      <c r="G641" s="114"/>
      <c r="H641" s="114"/>
      <c r="I641" s="150">
        <f>SUM(I638:I640)</f>
        <v>179.15666666666667</v>
      </c>
    </row>
    <row r="642" spans="2:9" ht="15.75" thickBot="1" x14ac:dyDescent="0.3">
      <c r="B642" s="671"/>
      <c r="C642" s="672"/>
      <c r="D642" s="673" t="s">
        <v>207</v>
      </c>
      <c r="E642" s="674"/>
      <c r="F642" s="151"/>
      <c r="G642" s="152"/>
      <c r="H642" s="153"/>
      <c r="I642" s="109">
        <f>(I641/F637)*0.05</f>
        <v>0.44789166666666669</v>
      </c>
    </row>
    <row r="643" spans="2:9" ht="15.75" thickBot="1" x14ac:dyDescent="0.3">
      <c r="B643" s="675"/>
      <c r="C643" s="676"/>
      <c r="D643" s="677" t="s">
        <v>40</v>
      </c>
      <c r="E643" s="678"/>
      <c r="F643" s="154"/>
      <c r="G643" s="123"/>
      <c r="H643" s="155"/>
      <c r="I643" s="125">
        <f>(I641/F637)+I642</f>
        <v>9.4057250000000003</v>
      </c>
    </row>
    <row r="644" spans="2:9" ht="15.75" thickBot="1" x14ac:dyDescent="0.3">
      <c r="B644" s="126"/>
      <c r="C644" s="126"/>
      <c r="D644" s="127"/>
      <c r="E644" s="127"/>
      <c r="F644" s="156"/>
      <c r="G644" s="128"/>
      <c r="H644" s="128"/>
      <c r="I644" s="130"/>
    </row>
    <row r="645" spans="2:9" ht="15.75" thickBot="1" x14ac:dyDescent="0.3">
      <c r="B645" s="42" t="s">
        <v>90</v>
      </c>
      <c r="C645" s="679" t="str">
        <f>C633</f>
        <v>STROJNO ORODJE (cena brez operaterja)</v>
      </c>
      <c r="D645" s="680"/>
      <c r="E645" s="680"/>
      <c r="F645" s="680"/>
      <c r="G645" s="680"/>
      <c r="H645" s="680"/>
      <c r="I645" s="681"/>
    </row>
    <row r="646" spans="2:9" ht="23.25" thickBot="1" x14ac:dyDescent="0.3">
      <c r="B646" s="682" t="s">
        <v>36</v>
      </c>
      <c r="C646" s="683"/>
      <c r="D646" s="692" t="s">
        <v>37</v>
      </c>
      <c r="E646" s="693"/>
      <c r="F646" s="140" t="s">
        <v>38</v>
      </c>
      <c r="G646" s="100" t="s">
        <v>39</v>
      </c>
      <c r="H646" s="100" t="s">
        <v>40</v>
      </c>
      <c r="I646" s="101" t="s">
        <v>41</v>
      </c>
    </row>
    <row r="647" spans="2:9" x14ac:dyDescent="0.25">
      <c r="B647" s="684" t="s">
        <v>99</v>
      </c>
      <c r="C647" s="685"/>
      <c r="D647" s="694" t="str">
        <f>CENIK_št_1!B127</f>
        <v>Vibracijska igla za beton</v>
      </c>
      <c r="E647" s="695"/>
      <c r="F647" s="141">
        <v>1800</v>
      </c>
      <c r="G647" s="142"/>
      <c r="H647" s="142"/>
      <c r="I647" s="143"/>
    </row>
    <row r="648" spans="2:9" x14ac:dyDescent="0.25">
      <c r="B648" s="104"/>
      <c r="C648" s="105"/>
      <c r="D648" s="696" t="s">
        <v>209</v>
      </c>
      <c r="E648" s="697"/>
      <c r="F648" s="144">
        <v>24</v>
      </c>
      <c r="G648" s="145"/>
      <c r="H648" s="145"/>
      <c r="I648" s="146"/>
    </row>
    <row r="649" spans="2:9" x14ac:dyDescent="0.25">
      <c r="B649" s="104"/>
      <c r="C649" s="105"/>
      <c r="D649" s="696" t="s">
        <v>208</v>
      </c>
      <c r="E649" s="697"/>
      <c r="F649" s="144">
        <v>8</v>
      </c>
      <c r="G649" s="145"/>
      <c r="H649" s="145"/>
      <c r="I649" s="146"/>
    </row>
    <row r="650" spans="2:9" ht="26.25" customHeight="1" x14ac:dyDescent="0.25">
      <c r="B650" s="667"/>
      <c r="C650" s="668"/>
      <c r="D650" s="698" t="s">
        <v>212</v>
      </c>
      <c r="E650" s="699"/>
      <c r="F650" s="148"/>
      <c r="G650" s="114"/>
      <c r="H650" s="106">
        <v>2</v>
      </c>
      <c r="I650" s="107">
        <f>F649*H650</f>
        <v>16</v>
      </c>
    </row>
    <row r="651" spans="2:9" x14ac:dyDescent="0.25">
      <c r="B651" s="667"/>
      <c r="C651" s="668"/>
      <c r="D651" s="700" t="s">
        <v>344</v>
      </c>
      <c r="E651" s="687"/>
      <c r="F651" s="148"/>
      <c r="G651" s="114">
        <v>2</v>
      </c>
      <c r="H651" s="106">
        <v>1.5</v>
      </c>
      <c r="I651" s="116">
        <f>F649*G651*H651</f>
        <v>24</v>
      </c>
    </row>
    <row r="652" spans="2:9" ht="15.75" thickBot="1" x14ac:dyDescent="0.3">
      <c r="B652" s="667"/>
      <c r="C652" s="668"/>
      <c r="D652" s="686" t="s">
        <v>164</v>
      </c>
      <c r="E652" s="687"/>
      <c r="F652" s="149"/>
      <c r="G652" s="114"/>
      <c r="H652" s="114"/>
      <c r="I652" s="113">
        <f>F647/F648</f>
        <v>75</v>
      </c>
    </row>
    <row r="653" spans="2:9" ht="15.75" thickTop="1" x14ac:dyDescent="0.25">
      <c r="B653" s="667"/>
      <c r="C653" s="668"/>
      <c r="D653" s="669" t="s">
        <v>158</v>
      </c>
      <c r="E653" s="670"/>
      <c r="F653" s="148"/>
      <c r="G653" s="114"/>
      <c r="H653" s="114"/>
      <c r="I653" s="150">
        <f>SUM(I650:I652)</f>
        <v>115</v>
      </c>
    </row>
    <row r="654" spans="2:9" ht="15.75" thickBot="1" x14ac:dyDescent="0.3">
      <c r="B654" s="671"/>
      <c r="C654" s="672"/>
      <c r="D654" s="673" t="s">
        <v>207</v>
      </c>
      <c r="E654" s="674"/>
      <c r="F654" s="151"/>
      <c r="G654" s="152"/>
      <c r="H654" s="153"/>
      <c r="I654" s="109">
        <f>(I653/F649)*0.05</f>
        <v>0.71875</v>
      </c>
    </row>
    <row r="655" spans="2:9" ht="15.75" thickBot="1" x14ac:dyDescent="0.3">
      <c r="B655" s="675"/>
      <c r="C655" s="676"/>
      <c r="D655" s="677" t="s">
        <v>40</v>
      </c>
      <c r="E655" s="678"/>
      <c r="F655" s="154"/>
      <c r="G655" s="123"/>
      <c r="H655" s="155"/>
      <c r="I655" s="125">
        <f>(I653/F649)+I654</f>
        <v>15.09375</v>
      </c>
    </row>
    <row r="656" spans="2:9" ht="15.75" thickBot="1" x14ac:dyDescent="0.3"/>
    <row r="657" spans="2:9" ht="15.75" thickBot="1" x14ac:dyDescent="0.3">
      <c r="B657" s="42" t="s">
        <v>90</v>
      </c>
      <c r="C657" s="679" t="str">
        <f>C633</f>
        <v>STROJNO ORODJE (cena brez operaterja)</v>
      </c>
      <c r="D657" s="680"/>
      <c r="E657" s="680"/>
      <c r="F657" s="680"/>
      <c r="G657" s="680"/>
      <c r="H657" s="680"/>
      <c r="I657" s="681"/>
    </row>
    <row r="658" spans="2:9" ht="23.25" thickBot="1" x14ac:dyDescent="0.3">
      <c r="B658" s="682" t="s">
        <v>36</v>
      </c>
      <c r="C658" s="683"/>
      <c r="D658" s="692" t="s">
        <v>37</v>
      </c>
      <c r="E658" s="693"/>
      <c r="F658" s="140" t="s">
        <v>38</v>
      </c>
      <c r="G658" s="100" t="s">
        <v>39</v>
      </c>
      <c r="H658" s="100" t="s">
        <v>40</v>
      </c>
      <c r="I658" s="101" t="s">
        <v>41</v>
      </c>
    </row>
    <row r="659" spans="2:9" x14ac:dyDescent="0.25">
      <c r="B659" s="684" t="s">
        <v>100</v>
      </c>
      <c r="C659" s="685"/>
      <c r="D659" s="694" t="str">
        <f>CENIK_št_1!B128</f>
        <v>Vibracijska plošča</v>
      </c>
      <c r="E659" s="695"/>
      <c r="F659" s="141">
        <v>2700</v>
      </c>
      <c r="G659" s="142"/>
      <c r="H659" s="142"/>
      <c r="I659" s="143"/>
    </row>
    <row r="660" spans="2:9" x14ac:dyDescent="0.25">
      <c r="B660" s="104"/>
      <c r="C660" s="105"/>
      <c r="D660" s="696" t="s">
        <v>209</v>
      </c>
      <c r="E660" s="697"/>
      <c r="F660" s="144">
        <v>48</v>
      </c>
      <c r="G660" s="145"/>
      <c r="H660" s="145"/>
      <c r="I660" s="146"/>
    </row>
    <row r="661" spans="2:9" x14ac:dyDescent="0.25">
      <c r="B661" s="104"/>
      <c r="C661" s="105"/>
      <c r="D661" s="696" t="s">
        <v>208</v>
      </c>
      <c r="E661" s="697"/>
      <c r="F661" s="144">
        <v>10</v>
      </c>
      <c r="G661" s="145"/>
      <c r="H661" s="145"/>
      <c r="I661" s="146"/>
    </row>
    <row r="662" spans="2:9" ht="23.25" customHeight="1" x14ac:dyDescent="0.25">
      <c r="B662" s="667"/>
      <c r="C662" s="668"/>
      <c r="D662" s="698" t="s">
        <v>212</v>
      </c>
      <c r="E662" s="699"/>
      <c r="F662" s="148"/>
      <c r="G662" s="114"/>
      <c r="H662" s="106">
        <v>4</v>
      </c>
      <c r="I662" s="107">
        <f>F661*H662</f>
        <v>40</v>
      </c>
    </row>
    <row r="663" spans="2:9" ht="21.75" customHeight="1" x14ac:dyDescent="0.25">
      <c r="B663" s="667"/>
      <c r="C663" s="668"/>
      <c r="D663" s="700" t="s">
        <v>344</v>
      </c>
      <c r="E663" s="687"/>
      <c r="F663" s="148"/>
      <c r="G663" s="114">
        <v>3.5</v>
      </c>
      <c r="H663" s="106">
        <v>1.51</v>
      </c>
      <c r="I663" s="116">
        <f>F661*G663*H663</f>
        <v>52.85</v>
      </c>
    </row>
    <row r="664" spans="2:9" ht="15.75" thickBot="1" x14ac:dyDescent="0.3">
      <c r="B664" s="667"/>
      <c r="C664" s="668"/>
      <c r="D664" s="686" t="s">
        <v>164</v>
      </c>
      <c r="E664" s="687"/>
      <c r="F664" s="149"/>
      <c r="G664" s="114"/>
      <c r="H664" s="114"/>
      <c r="I664" s="113">
        <f>F659/F660</f>
        <v>56.25</v>
      </c>
    </row>
    <row r="665" spans="2:9" ht="15.75" thickTop="1" x14ac:dyDescent="0.25">
      <c r="B665" s="667"/>
      <c r="C665" s="668"/>
      <c r="D665" s="669" t="s">
        <v>158</v>
      </c>
      <c r="E665" s="670"/>
      <c r="F665" s="148"/>
      <c r="G665" s="114"/>
      <c r="H665" s="114"/>
      <c r="I665" s="150">
        <f>SUM(I662:I664)</f>
        <v>149.1</v>
      </c>
    </row>
    <row r="666" spans="2:9" ht="15.75" thickBot="1" x14ac:dyDescent="0.3">
      <c r="B666" s="671"/>
      <c r="C666" s="672"/>
      <c r="D666" s="673" t="s">
        <v>207</v>
      </c>
      <c r="E666" s="674"/>
      <c r="F666" s="151"/>
      <c r="G666" s="152"/>
      <c r="H666" s="153"/>
      <c r="I666" s="109">
        <f>(I665/F661)*0.05</f>
        <v>0.74550000000000005</v>
      </c>
    </row>
    <row r="667" spans="2:9" ht="15.75" thickBot="1" x14ac:dyDescent="0.3">
      <c r="B667" s="675"/>
      <c r="C667" s="676"/>
      <c r="D667" s="677" t="s">
        <v>40</v>
      </c>
      <c r="E667" s="678"/>
      <c r="F667" s="154"/>
      <c r="G667" s="123"/>
      <c r="H667" s="155"/>
      <c r="I667" s="125">
        <f>(I665/F661)+I666</f>
        <v>15.6555</v>
      </c>
    </row>
    <row r="668" spans="2:9" ht="15.75" thickBot="1" x14ac:dyDescent="0.3"/>
    <row r="669" spans="2:9" ht="15.75" thickBot="1" x14ac:dyDescent="0.3">
      <c r="B669" s="42" t="s">
        <v>90</v>
      </c>
      <c r="C669" s="679" t="str">
        <f>C657</f>
        <v>STROJNO ORODJE (cena brez operaterja)</v>
      </c>
      <c r="D669" s="680"/>
      <c r="E669" s="680"/>
      <c r="F669" s="680"/>
      <c r="G669" s="680"/>
      <c r="H669" s="680"/>
      <c r="I669" s="681"/>
    </row>
    <row r="670" spans="2:9" ht="23.25" thickBot="1" x14ac:dyDescent="0.3">
      <c r="B670" s="682" t="s">
        <v>36</v>
      </c>
      <c r="C670" s="683"/>
      <c r="D670" s="692" t="s">
        <v>37</v>
      </c>
      <c r="E670" s="693"/>
      <c r="F670" s="140" t="s">
        <v>38</v>
      </c>
      <c r="G670" s="100" t="s">
        <v>39</v>
      </c>
      <c r="H670" s="100" t="s">
        <v>40</v>
      </c>
      <c r="I670" s="101" t="s">
        <v>41</v>
      </c>
    </row>
    <row r="671" spans="2:9" x14ac:dyDescent="0.25">
      <c r="B671" s="684" t="s">
        <v>101</v>
      </c>
      <c r="C671" s="685"/>
      <c r="D671" s="694" t="str">
        <f>CENIK_št_1!B129</f>
        <v>Vibracisjki nabijalec</v>
      </c>
      <c r="E671" s="695"/>
      <c r="F671" s="141">
        <v>2700</v>
      </c>
      <c r="G671" s="142"/>
      <c r="H671" s="142"/>
      <c r="I671" s="143"/>
    </row>
    <row r="672" spans="2:9" x14ac:dyDescent="0.25">
      <c r="B672" s="104"/>
      <c r="C672" s="105"/>
      <c r="D672" s="696" t="s">
        <v>209</v>
      </c>
      <c r="E672" s="697"/>
      <c r="F672" s="144">
        <v>48</v>
      </c>
      <c r="G672" s="145"/>
      <c r="H672" s="145"/>
      <c r="I672" s="146"/>
    </row>
    <row r="673" spans="2:10" x14ac:dyDescent="0.25">
      <c r="B673" s="104"/>
      <c r="C673" s="105"/>
      <c r="D673" s="696" t="s">
        <v>208</v>
      </c>
      <c r="E673" s="697"/>
      <c r="F673" s="144">
        <v>10</v>
      </c>
      <c r="G673" s="145"/>
      <c r="H673" s="145"/>
      <c r="I673" s="146"/>
    </row>
    <row r="674" spans="2:10" ht="22.5" customHeight="1" x14ac:dyDescent="0.25">
      <c r="B674" s="667"/>
      <c r="C674" s="668"/>
      <c r="D674" s="698" t="s">
        <v>212</v>
      </c>
      <c r="E674" s="699"/>
      <c r="F674" s="148"/>
      <c r="G674" s="114"/>
      <c r="H674" s="106">
        <v>4</v>
      </c>
      <c r="I674" s="107">
        <f>F673*H674</f>
        <v>40</v>
      </c>
    </row>
    <row r="675" spans="2:10" ht="21.75" customHeight="1" x14ac:dyDescent="0.25">
      <c r="B675" s="667"/>
      <c r="C675" s="668"/>
      <c r="D675" s="700" t="s">
        <v>344</v>
      </c>
      <c r="E675" s="687"/>
      <c r="F675" s="148"/>
      <c r="G675" s="114">
        <v>3.5</v>
      </c>
      <c r="H675" s="106">
        <v>1.51</v>
      </c>
      <c r="I675" s="116">
        <f>F673*G675*H675</f>
        <v>52.85</v>
      </c>
    </row>
    <row r="676" spans="2:10" ht="15.75" thickBot="1" x14ac:dyDescent="0.3">
      <c r="B676" s="667"/>
      <c r="C676" s="668"/>
      <c r="D676" s="686" t="s">
        <v>164</v>
      </c>
      <c r="E676" s="687"/>
      <c r="F676" s="149"/>
      <c r="G676" s="114"/>
      <c r="H676" s="114"/>
      <c r="I676" s="113">
        <f>F671/F672</f>
        <v>56.25</v>
      </c>
    </row>
    <row r="677" spans="2:10" ht="15.75" thickTop="1" x14ac:dyDescent="0.25">
      <c r="B677" s="667"/>
      <c r="C677" s="668"/>
      <c r="D677" s="669" t="s">
        <v>158</v>
      </c>
      <c r="E677" s="670"/>
      <c r="F677" s="148"/>
      <c r="G677" s="114"/>
      <c r="H677" s="114"/>
      <c r="I677" s="150">
        <f>SUM(I674:I676)</f>
        <v>149.1</v>
      </c>
    </row>
    <row r="678" spans="2:10" ht="15.75" thickBot="1" x14ac:dyDescent="0.3">
      <c r="B678" s="671"/>
      <c r="C678" s="672"/>
      <c r="D678" s="673" t="s">
        <v>207</v>
      </c>
      <c r="E678" s="674"/>
      <c r="F678" s="151"/>
      <c r="G678" s="152"/>
      <c r="H678" s="153"/>
      <c r="I678" s="109">
        <f>(I677/F673)*0.05</f>
        <v>0.74550000000000005</v>
      </c>
    </row>
    <row r="679" spans="2:10" ht="15.75" thickBot="1" x14ac:dyDescent="0.3">
      <c r="B679" s="675"/>
      <c r="C679" s="676"/>
      <c r="D679" s="677" t="s">
        <v>40</v>
      </c>
      <c r="E679" s="678"/>
      <c r="F679" s="154"/>
      <c r="G679" s="123"/>
      <c r="H679" s="155"/>
      <c r="I679" s="125">
        <f>(I677/F673)+I678</f>
        <v>15.6555</v>
      </c>
    </row>
    <row r="680" spans="2:10" x14ac:dyDescent="0.25">
      <c r="B680" s="126"/>
      <c r="C680" s="126"/>
      <c r="D680" s="127"/>
      <c r="E680" s="127"/>
      <c r="F680" s="156"/>
      <c r="G680" s="128"/>
      <c r="H680" s="128"/>
      <c r="I680" s="130"/>
    </row>
    <row r="681" spans="2:10" ht="15.75" thickBot="1" x14ac:dyDescent="0.3">
      <c r="B681" s="126"/>
      <c r="C681" s="126"/>
      <c r="D681" s="127"/>
      <c r="E681" s="127"/>
      <c r="F681" s="156"/>
      <c r="G681" s="128"/>
      <c r="H681" s="128"/>
      <c r="I681" s="130"/>
      <c r="J681" s="175"/>
    </row>
    <row r="682" spans="2:10" ht="15.75" thickBot="1" x14ac:dyDescent="0.3">
      <c r="B682" s="42" t="s">
        <v>90</v>
      </c>
      <c r="C682" s="679" t="str">
        <f>C727</f>
        <v>STROJNO ORODJE (cena brez operaterja)</v>
      </c>
      <c r="D682" s="680"/>
      <c r="E682" s="680"/>
      <c r="F682" s="680"/>
      <c r="G682" s="680"/>
      <c r="H682" s="680"/>
      <c r="I682" s="681"/>
    </row>
    <row r="683" spans="2:10" ht="23.25" thickBot="1" x14ac:dyDescent="0.3">
      <c r="B683" s="682" t="s">
        <v>36</v>
      </c>
      <c r="C683" s="683"/>
      <c r="D683" s="692" t="s">
        <v>37</v>
      </c>
      <c r="E683" s="693"/>
      <c r="F683" s="140" t="s">
        <v>38</v>
      </c>
      <c r="G683" s="100" t="s">
        <v>39</v>
      </c>
      <c r="H683" s="100" t="s">
        <v>40</v>
      </c>
      <c r="I683" s="101" t="s">
        <v>41</v>
      </c>
    </row>
    <row r="684" spans="2:10" x14ac:dyDescent="0.25">
      <c r="B684" s="684" t="s">
        <v>102</v>
      </c>
      <c r="C684" s="685"/>
      <c r="D684" s="694" t="str">
        <f>CENIK_št_1!B130</f>
        <v>Električni bencinski agregat</v>
      </c>
      <c r="E684" s="695"/>
      <c r="F684" s="141">
        <v>2500</v>
      </c>
      <c r="G684" s="142"/>
      <c r="H684" s="142"/>
      <c r="I684" s="143"/>
    </row>
    <row r="685" spans="2:10" x14ac:dyDescent="0.25">
      <c r="B685" s="104"/>
      <c r="C685" s="105"/>
      <c r="D685" s="696" t="s">
        <v>209</v>
      </c>
      <c r="E685" s="697"/>
      <c r="F685" s="144">
        <v>36</v>
      </c>
      <c r="G685" s="145"/>
      <c r="H685" s="145"/>
      <c r="I685" s="146"/>
    </row>
    <row r="686" spans="2:10" x14ac:dyDescent="0.25">
      <c r="B686" s="104"/>
      <c r="C686" s="105"/>
      <c r="D686" s="696" t="s">
        <v>208</v>
      </c>
      <c r="E686" s="697"/>
      <c r="F686" s="144">
        <v>20</v>
      </c>
      <c r="G686" s="145"/>
      <c r="H686" s="145"/>
      <c r="I686" s="146"/>
    </row>
    <row r="687" spans="2:10" ht="21.75" customHeight="1" x14ac:dyDescent="0.25">
      <c r="B687" s="667"/>
      <c r="C687" s="668"/>
      <c r="D687" s="698" t="s">
        <v>212</v>
      </c>
      <c r="E687" s="699"/>
      <c r="F687" s="148"/>
      <c r="G687" s="114"/>
      <c r="H687" s="106">
        <v>3</v>
      </c>
      <c r="I687" s="107">
        <f>F686*H687</f>
        <v>60</v>
      </c>
    </row>
    <row r="688" spans="2:10" ht="21.75" customHeight="1" x14ac:dyDescent="0.25">
      <c r="B688" s="667"/>
      <c r="C688" s="668"/>
      <c r="D688" s="700" t="s">
        <v>344</v>
      </c>
      <c r="E688" s="687"/>
      <c r="F688" s="148"/>
      <c r="G688" s="114">
        <v>2.5</v>
      </c>
      <c r="H688" s="106">
        <v>1.51</v>
      </c>
      <c r="I688" s="116">
        <f>F686*G688*H688</f>
        <v>75.5</v>
      </c>
    </row>
    <row r="689" spans="2:10" ht="15.75" thickBot="1" x14ac:dyDescent="0.3">
      <c r="B689" s="667"/>
      <c r="C689" s="668"/>
      <c r="D689" s="686" t="s">
        <v>164</v>
      </c>
      <c r="E689" s="687"/>
      <c r="F689" s="149"/>
      <c r="G689" s="114"/>
      <c r="H689" s="114"/>
      <c r="I689" s="113">
        <f>F684/F685</f>
        <v>69.444444444444443</v>
      </c>
    </row>
    <row r="690" spans="2:10" ht="15.75" thickTop="1" x14ac:dyDescent="0.25">
      <c r="B690" s="667"/>
      <c r="C690" s="668"/>
      <c r="D690" s="669" t="s">
        <v>158</v>
      </c>
      <c r="E690" s="670"/>
      <c r="F690" s="148"/>
      <c r="G690" s="114"/>
      <c r="H690" s="114"/>
      <c r="I690" s="150">
        <f>SUM(I687:I689)</f>
        <v>204.94444444444446</v>
      </c>
    </row>
    <row r="691" spans="2:10" ht="15.75" thickBot="1" x14ac:dyDescent="0.3">
      <c r="B691" s="671"/>
      <c r="C691" s="672"/>
      <c r="D691" s="673" t="s">
        <v>207</v>
      </c>
      <c r="E691" s="674"/>
      <c r="F691" s="151"/>
      <c r="G691" s="152"/>
      <c r="H691" s="153"/>
      <c r="I691" s="109">
        <f>(I690/F686)*0.05</f>
        <v>0.51236111111111116</v>
      </c>
    </row>
    <row r="692" spans="2:10" ht="15.75" thickBot="1" x14ac:dyDescent="0.3">
      <c r="B692" s="675"/>
      <c r="C692" s="676"/>
      <c r="D692" s="677" t="s">
        <v>40</v>
      </c>
      <c r="E692" s="678"/>
      <c r="F692" s="154"/>
      <c r="G692" s="123"/>
      <c r="H692" s="155"/>
      <c r="I692" s="125">
        <f>(I690/F686)+I691</f>
        <v>10.759583333333335</v>
      </c>
    </row>
    <row r="693" spans="2:10" ht="15.75" thickBot="1" x14ac:dyDescent="0.3">
      <c r="B693" s="126"/>
      <c r="C693" s="126"/>
      <c r="D693" s="127"/>
      <c r="E693" s="127"/>
      <c r="F693" s="156"/>
      <c r="G693" s="128"/>
      <c r="H693" s="128"/>
      <c r="I693" s="130"/>
      <c r="J693" s="175"/>
    </row>
    <row r="694" spans="2:10" ht="15.75" thickBot="1" x14ac:dyDescent="0.3">
      <c r="B694" s="42" t="s">
        <v>90</v>
      </c>
      <c r="C694" s="679" t="str">
        <f>C669</f>
        <v>STROJNO ORODJE (cena brez operaterja)</v>
      </c>
      <c r="D694" s="680"/>
      <c r="E694" s="680"/>
      <c r="F694" s="680"/>
      <c r="G694" s="680"/>
      <c r="H694" s="681"/>
      <c r="I694" s="99"/>
    </row>
    <row r="695" spans="2:10" ht="23.25" thickBot="1" x14ac:dyDescent="0.3">
      <c r="B695" s="682" t="s">
        <v>36</v>
      </c>
      <c r="C695" s="683"/>
      <c r="D695" s="692" t="s">
        <v>37</v>
      </c>
      <c r="E695" s="693"/>
      <c r="F695" s="140" t="s">
        <v>38</v>
      </c>
      <c r="G695" s="100" t="s">
        <v>40</v>
      </c>
      <c r="H695" s="101" t="s">
        <v>41</v>
      </c>
    </row>
    <row r="696" spans="2:10" x14ac:dyDescent="0.25">
      <c r="B696" s="684" t="s">
        <v>103</v>
      </c>
      <c r="C696" s="685"/>
      <c r="D696" s="694" t="str">
        <f>CENIK_št_1!B131</f>
        <v>Električno udarno kladivo</v>
      </c>
      <c r="E696" s="695"/>
      <c r="F696" s="141">
        <v>1200</v>
      </c>
      <c r="G696" s="142"/>
      <c r="H696" s="143"/>
    </row>
    <row r="697" spans="2:10" x14ac:dyDescent="0.25">
      <c r="B697" s="104"/>
      <c r="C697" s="105"/>
      <c r="D697" s="696" t="s">
        <v>209</v>
      </c>
      <c r="E697" s="697"/>
      <c r="F697" s="144">
        <v>12</v>
      </c>
      <c r="G697" s="145"/>
      <c r="H697" s="146"/>
    </row>
    <row r="698" spans="2:10" x14ac:dyDescent="0.25">
      <c r="B698" s="104"/>
      <c r="C698" s="105"/>
      <c r="D698" s="696" t="s">
        <v>208</v>
      </c>
      <c r="E698" s="697"/>
      <c r="F698" s="144">
        <v>12.5</v>
      </c>
      <c r="G698" s="145"/>
      <c r="H698" s="146"/>
    </row>
    <row r="699" spans="2:10" ht="24.75" customHeight="1" x14ac:dyDescent="0.25">
      <c r="B699" s="667"/>
      <c r="C699" s="668"/>
      <c r="D699" s="698" t="s">
        <v>212</v>
      </c>
      <c r="E699" s="699"/>
      <c r="F699" s="148"/>
      <c r="G699" s="106">
        <v>2.5</v>
      </c>
      <c r="H699" s="107">
        <f>F698*G699</f>
        <v>31.25</v>
      </c>
    </row>
    <row r="700" spans="2:10" ht="21.75" customHeight="1" thickBot="1" x14ac:dyDescent="0.3">
      <c r="B700" s="667"/>
      <c r="C700" s="668"/>
      <c r="D700" s="686" t="s">
        <v>164</v>
      </c>
      <c r="E700" s="687"/>
      <c r="F700" s="149"/>
      <c r="G700" s="114"/>
      <c r="H700" s="113">
        <f>F696/F697</f>
        <v>100</v>
      </c>
    </row>
    <row r="701" spans="2:10" ht="15.75" thickTop="1" x14ac:dyDescent="0.25">
      <c r="B701" s="667"/>
      <c r="C701" s="668"/>
      <c r="D701" s="669" t="s">
        <v>158</v>
      </c>
      <c r="E701" s="670"/>
      <c r="F701" s="148"/>
      <c r="G701" s="114"/>
      <c r="H701" s="150">
        <f>SUM(H699:H700)</f>
        <v>131.25</v>
      </c>
    </row>
    <row r="702" spans="2:10" ht="15.75" thickBot="1" x14ac:dyDescent="0.3">
      <c r="B702" s="671"/>
      <c r="C702" s="672"/>
      <c r="D702" s="673" t="s">
        <v>207</v>
      </c>
      <c r="E702" s="674"/>
      <c r="F702" s="151"/>
      <c r="G702" s="153"/>
      <c r="H702" s="109">
        <f>(H701/F698)*0.05</f>
        <v>0.52500000000000002</v>
      </c>
    </row>
    <row r="703" spans="2:10" ht="15.75" thickBot="1" x14ac:dyDescent="0.3">
      <c r="B703" s="675"/>
      <c r="C703" s="676"/>
      <c r="D703" s="677" t="s">
        <v>40</v>
      </c>
      <c r="E703" s="678"/>
      <c r="F703" s="154"/>
      <c r="G703" s="155"/>
      <c r="H703" s="125">
        <f>(H701/F698)+H702</f>
        <v>11.025</v>
      </c>
    </row>
    <row r="704" spans="2:10" ht="15.75" thickBot="1" x14ac:dyDescent="0.3"/>
    <row r="705" spans="2:9" ht="15.75" thickBot="1" x14ac:dyDescent="0.3">
      <c r="B705" s="42" t="s">
        <v>90</v>
      </c>
      <c r="C705" s="679" t="str">
        <f>C694</f>
        <v>STROJNO ORODJE (cena brez operaterja)</v>
      </c>
      <c r="D705" s="680"/>
      <c r="E705" s="680"/>
      <c r="F705" s="680"/>
      <c r="G705" s="680"/>
      <c r="H705" s="681"/>
      <c r="I705" s="99"/>
    </row>
    <row r="706" spans="2:9" ht="23.25" thickBot="1" x14ac:dyDescent="0.3">
      <c r="B706" s="682" t="s">
        <v>36</v>
      </c>
      <c r="C706" s="683"/>
      <c r="D706" s="692" t="s">
        <v>37</v>
      </c>
      <c r="E706" s="693"/>
      <c r="F706" s="140" t="s">
        <v>38</v>
      </c>
      <c r="G706" s="100" t="s">
        <v>40</v>
      </c>
      <c r="H706" s="101" t="s">
        <v>41</v>
      </c>
    </row>
    <row r="707" spans="2:9" x14ac:dyDescent="0.25">
      <c r="B707" s="684" t="s">
        <v>104</v>
      </c>
      <c r="C707" s="685"/>
      <c r="D707" s="694" t="str">
        <f>CENIK_št_1!B132</f>
        <v>Električno udarno kladivo kobra</v>
      </c>
      <c r="E707" s="695"/>
      <c r="F707" s="141">
        <v>2500</v>
      </c>
      <c r="G707" s="142"/>
      <c r="H707" s="143"/>
    </row>
    <row r="708" spans="2:9" x14ac:dyDescent="0.25">
      <c r="B708" s="104"/>
      <c r="C708" s="105"/>
      <c r="D708" s="696" t="s">
        <v>209</v>
      </c>
      <c r="E708" s="697"/>
      <c r="F708" s="144">
        <v>24</v>
      </c>
      <c r="G708" s="145"/>
      <c r="H708" s="146"/>
    </row>
    <row r="709" spans="2:9" x14ac:dyDescent="0.25">
      <c r="B709" s="104"/>
      <c r="C709" s="105"/>
      <c r="D709" s="696" t="s">
        <v>208</v>
      </c>
      <c r="E709" s="697"/>
      <c r="F709" s="144">
        <v>10</v>
      </c>
      <c r="G709" s="145"/>
      <c r="H709" s="146"/>
    </row>
    <row r="710" spans="2:9" ht="23.25" customHeight="1" x14ac:dyDescent="0.25">
      <c r="B710" s="667"/>
      <c r="C710" s="668"/>
      <c r="D710" s="698" t="s">
        <v>212</v>
      </c>
      <c r="E710" s="699"/>
      <c r="F710" s="148"/>
      <c r="G710" s="106">
        <v>3</v>
      </c>
      <c r="H710" s="107">
        <f>F709*G710</f>
        <v>30</v>
      </c>
    </row>
    <row r="711" spans="2:9" ht="21.75" customHeight="1" thickBot="1" x14ac:dyDescent="0.3">
      <c r="B711" s="667"/>
      <c r="C711" s="668"/>
      <c r="D711" s="686" t="s">
        <v>164</v>
      </c>
      <c r="E711" s="687"/>
      <c r="F711" s="149"/>
      <c r="G711" s="114"/>
      <c r="H711" s="113">
        <f>F707/F708</f>
        <v>104.16666666666667</v>
      </c>
    </row>
    <row r="712" spans="2:9" ht="15.75" thickTop="1" x14ac:dyDescent="0.25">
      <c r="B712" s="667"/>
      <c r="C712" s="668"/>
      <c r="D712" s="669" t="s">
        <v>158</v>
      </c>
      <c r="E712" s="670"/>
      <c r="F712" s="148"/>
      <c r="G712" s="114"/>
      <c r="H712" s="150">
        <f>SUM(H710:H711)</f>
        <v>134.16666666666669</v>
      </c>
    </row>
    <row r="713" spans="2:9" ht="15.75" thickBot="1" x14ac:dyDescent="0.3">
      <c r="B713" s="671"/>
      <c r="C713" s="672"/>
      <c r="D713" s="673" t="s">
        <v>207</v>
      </c>
      <c r="E713" s="674"/>
      <c r="F713" s="151"/>
      <c r="G713" s="153"/>
      <c r="H713" s="109">
        <f>(H712/F709)*0.05</f>
        <v>0.67083333333333339</v>
      </c>
    </row>
    <row r="714" spans="2:9" ht="15.75" thickBot="1" x14ac:dyDescent="0.3">
      <c r="B714" s="675"/>
      <c r="C714" s="676"/>
      <c r="D714" s="677" t="s">
        <v>40</v>
      </c>
      <c r="E714" s="678"/>
      <c r="F714" s="154"/>
      <c r="G714" s="155"/>
      <c r="H714" s="125">
        <f>(H712/F709)+H713</f>
        <v>14.087500000000002</v>
      </c>
    </row>
    <row r="715" spans="2:9" ht="15.75" thickBot="1" x14ac:dyDescent="0.3">
      <c r="B715" s="126"/>
      <c r="C715" s="126"/>
      <c r="D715" s="127"/>
      <c r="E715" s="127"/>
      <c r="F715" s="156"/>
      <c r="G715" s="128"/>
      <c r="H715" s="128"/>
      <c r="I715" s="130"/>
    </row>
    <row r="716" spans="2:9" ht="15.75" thickBot="1" x14ac:dyDescent="0.3">
      <c r="B716" s="42" t="s">
        <v>90</v>
      </c>
      <c r="C716" s="679" t="str">
        <f>C705</f>
        <v>STROJNO ORODJE (cena brez operaterja)</v>
      </c>
      <c r="D716" s="680"/>
      <c r="E716" s="680"/>
      <c r="F716" s="680"/>
      <c r="G716" s="680"/>
      <c r="H716" s="681"/>
      <c r="I716" s="99"/>
    </row>
    <row r="717" spans="2:9" ht="23.25" thickBot="1" x14ac:dyDescent="0.3">
      <c r="B717" s="682" t="s">
        <v>36</v>
      </c>
      <c r="C717" s="683"/>
      <c r="D717" s="692" t="s">
        <v>37</v>
      </c>
      <c r="E717" s="693"/>
      <c r="F717" s="140" t="s">
        <v>38</v>
      </c>
      <c r="G717" s="100" t="s">
        <v>40</v>
      </c>
      <c r="H717" s="101" t="s">
        <v>41</v>
      </c>
    </row>
    <row r="718" spans="2:9" x14ac:dyDescent="0.25">
      <c r="B718" s="684" t="s">
        <v>105</v>
      </c>
      <c r="C718" s="685"/>
      <c r="D718" s="694" t="str">
        <f>CENIK_št_1!B133</f>
        <v>Vibracijski vrtalnik</v>
      </c>
      <c r="E718" s="695"/>
      <c r="F718" s="141">
        <v>1000</v>
      </c>
      <c r="G718" s="142"/>
      <c r="H718" s="143"/>
    </row>
    <row r="719" spans="2:9" x14ac:dyDescent="0.25">
      <c r="B719" s="104"/>
      <c r="C719" s="105"/>
      <c r="D719" s="696" t="s">
        <v>209</v>
      </c>
      <c r="E719" s="697"/>
      <c r="F719" s="144">
        <v>12</v>
      </c>
      <c r="G719" s="145"/>
      <c r="H719" s="146"/>
    </row>
    <row r="720" spans="2:9" x14ac:dyDescent="0.25">
      <c r="B720" s="104"/>
      <c r="C720" s="105"/>
      <c r="D720" s="696" t="s">
        <v>208</v>
      </c>
      <c r="E720" s="697"/>
      <c r="F720" s="144">
        <v>15</v>
      </c>
      <c r="G720" s="145"/>
      <c r="H720" s="146"/>
    </row>
    <row r="721" spans="2:9" ht="25.5" customHeight="1" x14ac:dyDescent="0.25">
      <c r="B721" s="667"/>
      <c r="C721" s="668"/>
      <c r="D721" s="698" t="s">
        <v>212</v>
      </c>
      <c r="E721" s="699"/>
      <c r="F721" s="148"/>
      <c r="G721" s="106">
        <v>3</v>
      </c>
      <c r="H721" s="107">
        <f>F720*G721</f>
        <v>45</v>
      </c>
    </row>
    <row r="722" spans="2:9" ht="21.75" customHeight="1" thickBot="1" x14ac:dyDescent="0.3">
      <c r="B722" s="667"/>
      <c r="C722" s="668"/>
      <c r="D722" s="686" t="s">
        <v>164</v>
      </c>
      <c r="E722" s="687"/>
      <c r="F722" s="149"/>
      <c r="G722" s="114"/>
      <c r="H722" s="113">
        <f>F718/F719</f>
        <v>83.333333333333329</v>
      </c>
    </row>
    <row r="723" spans="2:9" ht="15.75" thickTop="1" x14ac:dyDescent="0.25">
      <c r="B723" s="667"/>
      <c r="C723" s="668"/>
      <c r="D723" s="669" t="s">
        <v>158</v>
      </c>
      <c r="E723" s="670"/>
      <c r="F723" s="148"/>
      <c r="G723" s="114"/>
      <c r="H723" s="150">
        <f>SUM(H721:H722)</f>
        <v>128.33333333333331</v>
      </c>
    </row>
    <row r="724" spans="2:9" ht="15.75" thickBot="1" x14ac:dyDescent="0.3">
      <c r="B724" s="671"/>
      <c r="C724" s="672"/>
      <c r="D724" s="673" t="s">
        <v>207</v>
      </c>
      <c r="E724" s="674"/>
      <c r="F724" s="151"/>
      <c r="G724" s="153"/>
      <c r="H724" s="109">
        <f>(H723/F720)*0.05</f>
        <v>0.4277777777777777</v>
      </c>
    </row>
    <row r="725" spans="2:9" ht="15.75" thickBot="1" x14ac:dyDescent="0.3">
      <c r="B725" s="675"/>
      <c r="C725" s="676"/>
      <c r="D725" s="677" t="s">
        <v>40</v>
      </c>
      <c r="E725" s="678"/>
      <c r="F725" s="154"/>
      <c r="G725" s="155"/>
      <c r="H725" s="125">
        <f>(H723/F720)+H724</f>
        <v>8.9833333333333307</v>
      </c>
    </row>
    <row r="726" spans="2:9" ht="15.75" thickBot="1" x14ac:dyDescent="0.3"/>
    <row r="727" spans="2:9" ht="15.75" thickBot="1" x14ac:dyDescent="0.3">
      <c r="B727" s="42" t="s">
        <v>90</v>
      </c>
      <c r="C727" s="679" t="str">
        <f>C705</f>
        <v>STROJNO ORODJE (cena brez operaterja)</v>
      </c>
      <c r="D727" s="680"/>
      <c r="E727" s="680"/>
      <c r="F727" s="680"/>
      <c r="G727" s="680"/>
      <c r="H727" s="681"/>
      <c r="I727" s="99"/>
    </row>
    <row r="728" spans="2:9" ht="23.25" thickBot="1" x14ac:dyDescent="0.3">
      <c r="B728" s="682" t="s">
        <v>36</v>
      </c>
      <c r="C728" s="732"/>
      <c r="D728" s="692" t="s">
        <v>37</v>
      </c>
      <c r="E728" s="731"/>
      <c r="F728" s="140" t="s">
        <v>38</v>
      </c>
      <c r="G728" s="100" t="s">
        <v>40</v>
      </c>
      <c r="H728" s="101" t="s">
        <v>41</v>
      </c>
    </row>
    <row r="729" spans="2:9" ht="23.25" customHeight="1" x14ac:dyDescent="0.25">
      <c r="B729" s="684" t="s">
        <v>106</v>
      </c>
      <c r="C729" s="703"/>
      <c r="D729" s="694" t="str">
        <f>CENIK_št_1!B134</f>
        <v xml:space="preserve">Rezalka električna </v>
      </c>
      <c r="E729" s="695"/>
      <c r="F729" s="141">
        <v>580</v>
      </c>
      <c r="G729" s="142"/>
      <c r="H729" s="143"/>
    </row>
    <row r="730" spans="2:9" x14ac:dyDescent="0.25">
      <c r="B730" s="104"/>
      <c r="C730" s="105"/>
      <c r="D730" s="696" t="s">
        <v>209</v>
      </c>
      <c r="E730" s="720"/>
      <c r="F730" s="144">
        <v>12</v>
      </c>
      <c r="G730" s="145"/>
      <c r="H730" s="146"/>
    </row>
    <row r="731" spans="2:9" ht="15" customHeight="1" x14ac:dyDescent="0.25">
      <c r="B731" s="104"/>
      <c r="C731" s="105"/>
      <c r="D731" s="696" t="s">
        <v>208</v>
      </c>
      <c r="E731" s="720"/>
      <c r="F731" s="144">
        <v>10</v>
      </c>
      <c r="G731" s="145"/>
      <c r="H731" s="146"/>
    </row>
    <row r="732" spans="2:9" ht="23.25" customHeight="1" x14ac:dyDescent="0.25">
      <c r="B732" s="733"/>
      <c r="C732" s="734"/>
      <c r="D732" s="765" t="s">
        <v>212</v>
      </c>
      <c r="E732" s="758"/>
      <c r="F732" s="148"/>
      <c r="G732" s="106">
        <v>2</v>
      </c>
      <c r="H732" s="107">
        <f>F731*G732</f>
        <v>20</v>
      </c>
    </row>
    <row r="733" spans="2:9" ht="21.75" customHeight="1" thickBot="1" x14ac:dyDescent="0.3">
      <c r="B733" s="733"/>
      <c r="C733" s="734"/>
      <c r="D733" s="755" t="s">
        <v>164</v>
      </c>
      <c r="E733" s="764"/>
      <c r="F733" s="149"/>
      <c r="G733" s="114"/>
      <c r="H733" s="113">
        <f>F729/F730</f>
        <v>48.333333333333336</v>
      </c>
    </row>
    <row r="734" spans="2:9" ht="15.75" thickTop="1" x14ac:dyDescent="0.25">
      <c r="B734" s="733"/>
      <c r="C734" s="734"/>
      <c r="D734" s="757" t="s">
        <v>158</v>
      </c>
      <c r="E734" s="756"/>
      <c r="F734" s="148"/>
      <c r="G734" s="114"/>
      <c r="H734" s="150">
        <f>SUM(H732:H733)</f>
        <v>68.333333333333343</v>
      </c>
    </row>
    <row r="735" spans="2:9" ht="15.75" thickBot="1" x14ac:dyDescent="0.3">
      <c r="B735" s="716"/>
      <c r="C735" s="717"/>
      <c r="D735" s="718" t="s">
        <v>207</v>
      </c>
      <c r="E735" s="719"/>
      <c r="F735" s="151"/>
      <c r="G735" s="153"/>
      <c r="H735" s="109">
        <f>(H734/F731)*0.05</f>
        <v>0.34166666666666673</v>
      </c>
    </row>
    <row r="736" spans="2:9" ht="15.75" thickBot="1" x14ac:dyDescent="0.3">
      <c r="B736" s="675"/>
      <c r="C736" s="676"/>
      <c r="D736" s="677" t="s">
        <v>40</v>
      </c>
      <c r="E736" s="678"/>
      <c r="F736" s="154"/>
      <c r="G736" s="155"/>
      <c r="H736" s="125">
        <f>(H734/F731)+H735</f>
        <v>7.1750000000000007</v>
      </c>
    </row>
    <row r="737" spans="2:9" ht="15.75" thickBot="1" x14ac:dyDescent="0.3"/>
    <row r="738" spans="2:9" ht="15.75" thickBot="1" x14ac:dyDescent="0.3">
      <c r="B738" s="42" t="s">
        <v>90</v>
      </c>
      <c r="C738" s="679" t="str">
        <f>C682</f>
        <v>STROJNO ORODJE (cena brez operaterja)</v>
      </c>
      <c r="D738" s="680"/>
      <c r="E738" s="680"/>
      <c r="F738" s="680"/>
      <c r="G738" s="680"/>
      <c r="H738" s="681"/>
      <c r="I738" s="99"/>
    </row>
    <row r="739" spans="2:9" ht="23.25" thickBot="1" x14ac:dyDescent="0.3">
      <c r="B739" s="682" t="s">
        <v>36</v>
      </c>
      <c r="C739" s="732"/>
      <c r="D739" s="692" t="s">
        <v>37</v>
      </c>
      <c r="E739" s="731"/>
      <c r="F739" s="140" t="s">
        <v>38</v>
      </c>
      <c r="G739" s="100" t="s">
        <v>40</v>
      </c>
      <c r="H739" s="101" t="s">
        <v>41</v>
      </c>
    </row>
    <row r="740" spans="2:9" ht="23.25" customHeight="1" x14ac:dyDescent="0.25">
      <c r="B740" s="684" t="s">
        <v>107</v>
      </c>
      <c r="C740" s="703"/>
      <c r="D740" s="694" t="str">
        <f>CENIK_št_1!B135</f>
        <v>Mešalec za beton</v>
      </c>
      <c r="E740" s="695"/>
      <c r="F740" s="141">
        <v>750</v>
      </c>
      <c r="G740" s="142"/>
      <c r="H740" s="143"/>
    </row>
    <row r="741" spans="2:9" x14ac:dyDescent="0.25">
      <c r="B741" s="104"/>
      <c r="C741" s="105"/>
      <c r="D741" s="696" t="s">
        <v>209</v>
      </c>
      <c r="E741" s="720"/>
      <c r="F741" s="144">
        <v>24</v>
      </c>
      <c r="G741" s="145"/>
      <c r="H741" s="146"/>
    </row>
    <row r="742" spans="2:9" ht="15" customHeight="1" x14ac:dyDescent="0.25">
      <c r="B742" s="104"/>
      <c r="C742" s="105"/>
      <c r="D742" s="696" t="s">
        <v>208</v>
      </c>
      <c r="E742" s="720"/>
      <c r="F742" s="144">
        <v>4.7</v>
      </c>
      <c r="G742" s="145"/>
      <c r="H742" s="146"/>
    </row>
    <row r="743" spans="2:9" ht="24.75" customHeight="1" x14ac:dyDescent="0.25">
      <c r="B743" s="733"/>
      <c r="C743" s="734"/>
      <c r="D743" s="765" t="s">
        <v>212</v>
      </c>
      <c r="E743" s="758"/>
      <c r="F743" s="148"/>
      <c r="G743" s="106">
        <v>1</v>
      </c>
      <c r="H743" s="107">
        <f>F742*G743</f>
        <v>4.7</v>
      </c>
    </row>
    <row r="744" spans="2:9" ht="21.75" customHeight="1" thickBot="1" x14ac:dyDescent="0.3">
      <c r="B744" s="733"/>
      <c r="C744" s="734"/>
      <c r="D744" s="755" t="s">
        <v>164</v>
      </c>
      <c r="E744" s="764"/>
      <c r="F744" s="149"/>
      <c r="G744" s="114"/>
      <c r="H744" s="113">
        <f>F740/F741</f>
        <v>31.25</v>
      </c>
    </row>
    <row r="745" spans="2:9" ht="15.75" thickTop="1" x14ac:dyDescent="0.25">
      <c r="B745" s="733"/>
      <c r="C745" s="734"/>
      <c r="D745" s="757" t="s">
        <v>158</v>
      </c>
      <c r="E745" s="756"/>
      <c r="F745" s="148"/>
      <c r="G745" s="114"/>
      <c r="H745" s="150">
        <f>SUM(H743:H744)</f>
        <v>35.950000000000003</v>
      </c>
    </row>
    <row r="746" spans="2:9" ht="15.75" thickBot="1" x14ac:dyDescent="0.3">
      <c r="B746" s="716"/>
      <c r="C746" s="717"/>
      <c r="D746" s="718" t="s">
        <v>207</v>
      </c>
      <c r="E746" s="719"/>
      <c r="F746" s="151"/>
      <c r="G746" s="153"/>
      <c r="H746" s="109">
        <f>(H745/F742)*0.05</f>
        <v>0.38244680851063834</v>
      </c>
    </row>
    <row r="747" spans="2:9" ht="15.75" thickBot="1" x14ac:dyDescent="0.3">
      <c r="B747" s="675"/>
      <c r="C747" s="676"/>
      <c r="D747" s="677" t="s">
        <v>40</v>
      </c>
      <c r="E747" s="678"/>
      <c r="F747" s="154"/>
      <c r="G747" s="155"/>
      <c r="H747" s="125">
        <f>(H745/F742)+H746</f>
        <v>8.0313829787234052</v>
      </c>
    </row>
    <row r="748" spans="2:9" ht="15.75" thickBot="1" x14ac:dyDescent="0.3"/>
    <row r="749" spans="2:9" ht="15.75" thickBot="1" x14ac:dyDescent="0.3">
      <c r="B749" s="42" t="s">
        <v>90</v>
      </c>
      <c r="C749" s="679" t="str">
        <f>C738</f>
        <v>STROJNO ORODJE (cena brez operaterja)</v>
      </c>
      <c r="D749" s="680"/>
      <c r="E749" s="680"/>
      <c r="F749" s="680"/>
      <c r="G749" s="680"/>
      <c r="H749" s="681"/>
      <c r="I749" s="99"/>
    </row>
    <row r="750" spans="2:9" ht="23.25" thickBot="1" x14ac:dyDescent="0.3">
      <c r="B750" s="682" t="s">
        <v>36</v>
      </c>
      <c r="C750" s="732"/>
      <c r="D750" s="692" t="s">
        <v>37</v>
      </c>
      <c r="E750" s="731"/>
      <c r="F750" s="140" t="s">
        <v>38</v>
      </c>
      <c r="G750" s="100" t="s">
        <v>40</v>
      </c>
      <c r="H750" s="101" t="s">
        <v>41</v>
      </c>
    </row>
    <row r="751" spans="2:9" ht="23.25" customHeight="1" x14ac:dyDescent="0.25">
      <c r="B751" s="684" t="s">
        <v>108</v>
      </c>
      <c r="C751" s="703"/>
      <c r="D751" s="694" t="str">
        <f>CENIK_št_1!B136</f>
        <v>Krožna žaga namizna</v>
      </c>
      <c r="E751" s="695"/>
      <c r="F751" s="141">
        <v>1800</v>
      </c>
      <c r="G751" s="142"/>
      <c r="H751" s="143"/>
    </row>
    <row r="752" spans="2:9" x14ac:dyDescent="0.25">
      <c r="B752" s="104"/>
      <c r="C752" s="105"/>
      <c r="D752" s="696" t="s">
        <v>209</v>
      </c>
      <c r="E752" s="720"/>
      <c r="F752" s="144">
        <v>36</v>
      </c>
      <c r="G752" s="145"/>
      <c r="H752" s="146"/>
    </row>
    <row r="753" spans="2:9" ht="15" customHeight="1" x14ac:dyDescent="0.25">
      <c r="B753" s="104"/>
      <c r="C753" s="105"/>
      <c r="D753" s="696" t="s">
        <v>208</v>
      </c>
      <c r="E753" s="720"/>
      <c r="F753" s="144">
        <v>9</v>
      </c>
      <c r="G753" s="145"/>
      <c r="H753" s="146"/>
    </row>
    <row r="754" spans="2:9" ht="22.5" customHeight="1" x14ac:dyDescent="0.25">
      <c r="B754" s="733"/>
      <c r="C754" s="734"/>
      <c r="D754" s="765" t="s">
        <v>212</v>
      </c>
      <c r="E754" s="758"/>
      <c r="F754" s="148"/>
      <c r="G754" s="106">
        <v>3</v>
      </c>
      <c r="H754" s="107">
        <f>F753*G754</f>
        <v>27</v>
      </c>
    </row>
    <row r="755" spans="2:9" ht="21.75" customHeight="1" thickBot="1" x14ac:dyDescent="0.3">
      <c r="B755" s="733"/>
      <c r="C755" s="734"/>
      <c r="D755" s="755" t="s">
        <v>164</v>
      </c>
      <c r="E755" s="764"/>
      <c r="F755" s="149"/>
      <c r="G755" s="114"/>
      <c r="H755" s="113">
        <f>F751/F752</f>
        <v>50</v>
      </c>
    </row>
    <row r="756" spans="2:9" ht="15.75" thickTop="1" x14ac:dyDescent="0.25">
      <c r="B756" s="733"/>
      <c r="C756" s="734"/>
      <c r="D756" s="757" t="s">
        <v>158</v>
      </c>
      <c r="E756" s="756"/>
      <c r="F756" s="148"/>
      <c r="G756" s="114"/>
      <c r="H756" s="150">
        <f>SUM(H754:H755)</f>
        <v>77</v>
      </c>
    </row>
    <row r="757" spans="2:9" ht="15.75" thickBot="1" x14ac:dyDescent="0.3">
      <c r="B757" s="716"/>
      <c r="C757" s="717"/>
      <c r="D757" s="718" t="s">
        <v>207</v>
      </c>
      <c r="E757" s="719"/>
      <c r="F757" s="151"/>
      <c r="G757" s="153"/>
      <c r="H757" s="109">
        <f>(H756/F753)*0.05</f>
        <v>0.42777777777777781</v>
      </c>
    </row>
    <row r="758" spans="2:9" ht="15.75" thickBot="1" x14ac:dyDescent="0.3">
      <c r="B758" s="675"/>
      <c r="C758" s="676"/>
      <c r="D758" s="677" t="s">
        <v>40</v>
      </c>
      <c r="E758" s="678"/>
      <c r="F758" s="154"/>
      <c r="G758" s="155"/>
      <c r="H758" s="125">
        <f>(H756/F753)+H757</f>
        <v>8.9833333333333325</v>
      </c>
    </row>
    <row r="759" spans="2:9" ht="15.75" thickBot="1" x14ac:dyDescent="0.3"/>
    <row r="760" spans="2:9" ht="15.75" thickBot="1" x14ac:dyDescent="0.3">
      <c r="B760" s="42" t="s">
        <v>90</v>
      </c>
      <c r="C760" s="679" t="str">
        <f>C738</f>
        <v>STROJNO ORODJE (cena brez operaterja)</v>
      </c>
      <c r="D760" s="680"/>
      <c r="E760" s="680"/>
      <c r="F760" s="680"/>
      <c r="G760" s="680"/>
      <c r="H760" s="681"/>
      <c r="I760" s="99"/>
    </row>
    <row r="761" spans="2:9" ht="23.25" thickBot="1" x14ac:dyDescent="0.3">
      <c r="B761" s="682" t="s">
        <v>36</v>
      </c>
      <c r="C761" s="732"/>
      <c r="D761" s="692" t="s">
        <v>37</v>
      </c>
      <c r="E761" s="731"/>
      <c r="F761" s="140" t="s">
        <v>38</v>
      </c>
      <c r="G761" s="100" t="s">
        <v>40</v>
      </c>
      <c r="H761" s="101" t="s">
        <v>41</v>
      </c>
    </row>
    <row r="762" spans="2:9" ht="23.25" customHeight="1" x14ac:dyDescent="0.25">
      <c r="B762" s="684" t="s">
        <v>109</v>
      </c>
      <c r="C762" s="703"/>
      <c r="D762" s="694" t="str">
        <f>CENIK_št_1!B137</f>
        <v>Stroj za rezanje asfalta</v>
      </c>
      <c r="E762" s="695"/>
      <c r="F762" s="141">
        <v>2600</v>
      </c>
      <c r="G762" s="142"/>
      <c r="H762" s="143"/>
    </row>
    <row r="763" spans="2:9" x14ac:dyDescent="0.25">
      <c r="B763" s="104"/>
      <c r="C763" s="105"/>
      <c r="D763" s="696" t="s">
        <v>209</v>
      </c>
      <c r="E763" s="720"/>
      <c r="F763" s="144">
        <v>36</v>
      </c>
      <c r="G763" s="145"/>
      <c r="H763" s="146"/>
    </row>
    <row r="764" spans="2:9" ht="15" customHeight="1" x14ac:dyDescent="0.25">
      <c r="B764" s="104"/>
      <c r="C764" s="105"/>
      <c r="D764" s="696" t="s">
        <v>208</v>
      </c>
      <c r="E764" s="720"/>
      <c r="F764" s="144">
        <v>10</v>
      </c>
      <c r="G764" s="145"/>
      <c r="H764" s="146"/>
    </row>
    <row r="765" spans="2:9" ht="25.5" customHeight="1" x14ac:dyDescent="0.25">
      <c r="B765" s="733"/>
      <c r="C765" s="734"/>
      <c r="D765" s="765" t="s">
        <v>212</v>
      </c>
      <c r="E765" s="758"/>
      <c r="F765" s="148"/>
      <c r="G765" s="106">
        <v>3.5</v>
      </c>
      <c r="H765" s="107">
        <f>F764*G765</f>
        <v>35</v>
      </c>
    </row>
    <row r="766" spans="2:9" ht="25.5" customHeight="1" x14ac:dyDescent="0.25">
      <c r="B766" s="136"/>
      <c r="C766" s="137"/>
      <c r="D766" s="700" t="s">
        <v>344</v>
      </c>
      <c r="E766" s="687"/>
      <c r="F766" s="148">
        <v>3</v>
      </c>
      <c r="G766" s="106">
        <v>1.19</v>
      </c>
      <c r="H766" s="109">
        <f>F764*F766*G766</f>
        <v>35.699999999999996</v>
      </c>
    </row>
    <row r="767" spans="2:9" ht="21.75" customHeight="1" thickBot="1" x14ac:dyDescent="0.3">
      <c r="B767" s="733"/>
      <c r="C767" s="734"/>
      <c r="D767" s="755" t="s">
        <v>164</v>
      </c>
      <c r="E767" s="764"/>
      <c r="F767" s="149"/>
      <c r="G767" s="114"/>
      <c r="H767" s="113">
        <f>F762/F763</f>
        <v>72.222222222222229</v>
      </c>
    </row>
    <row r="768" spans="2:9" ht="15.75" thickTop="1" x14ac:dyDescent="0.25">
      <c r="B768" s="733"/>
      <c r="C768" s="734"/>
      <c r="D768" s="757" t="s">
        <v>158</v>
      </c>
      <c r="E768" s="756"/>
      <c r="F768" s="148"/>
      <c r="G768" s="114"/>
      <c r="H768" s="150">
        <f>SUM(H765:H767)</f>
        <v>142.92222222222222</v>
      </c>
    </row>
    <row r="769" spans="2:9" ht="15.75" thickBot="1" x14ac:dyDescent="0.3">
      <c r="B769" s="716"/>
      <c r="C769" s="717"/>
      <c r="D769" s="718" t="s">
        <v>207</v>
      </c>
      <c r="E769" s="719"/>
      <c r="F769" s="151"/>
      <c r="G769" s="153"/>
      <c r="H769" s="109">
        <f>(H768/F764)*0.05</f>
        <v>0.71461111111111109</v>
      </c>
    </row>
    <row r="770" spans="2:9" ht="15.75" thickBot="1" x14ac:dyDescent="0.3">
      <c r="B770" s="675"/>
      <c r="C770" s="676"/>
      <c r="D770" s="677" t="s">
        <v>40</v>
      </c>
      <c r="E770" s="678"/>
      <c r="F770" s="154"/>
      <c r="G770" s="155"/>
      <c r="H770" s="125">
        <f>(H768/F764)+H769</f>
        <v>15.006833333333333</v>
      </c>
    </row>
    <row r="771" spans="2:9" ht="23.25" thickBot="1" x14ac:dyDescent="0.3">
      <c r="B771" s="649"/>
      <c r="C771" s="650"/>
      <c r="D771" s="651" t="s">
        <v>37</v>
      </c>
      <c r="E771" s="652"/>
      <c r="F771" s="48" t="s">
        <v>167</v>
      </c>
      <c r="G771" s="48" t="s">
        <v>156</v>
      </c>
      <c r="H771" s="49" t="s">
        <v>41</v>
      </c>
    </row>
    <row r="772" spans="2:9" x14ac:dyDescent="0.25">
      <c r="B772" s="657"/>
      <c r="C772" s="658"/>
      <c r="D772" s="704" t="s">
        <v>168</v>
      </c>
      <c r="E772" s="660"/>
      <c r="F772" s="23"/>
      <c r="G772" s="52"/>
      <c r="H772" s="25"/>
    </row>
    <row r="773" spans="2:9" x14ac:dyDescent="0.25">
      <c r="B773" s="54"/>
      <c r="C773" s="55"/>
      <c r="D773" s="768" t="s">
        <v>174</v>
      </c>
      <c r="E773" s="769"/>
      <c r="F773" s="23">
        <v>0.1</v>
      </c>
      <c r="G773" s="24">
        <f>H413</f>
        <v>17.676717614689657</v>
      </c>
      <c r="H773" s="25">
        <f>F773*G773</f>
        <v>1.7676717614689659</v>
      </c>
    </row>
    <row r="774" spans="2:9" x14ac:dyDescent="0.25">
      <c r="B774" s="58"/>
      <c r="C774" s="59"/>
      <c r="D774" s="688" t="s">
        <v>169</v>
      </c>
      <c r="E774" s="689"/>
      <c r="F774" s="27"/>
      <c r="G774" s="74"/>
      <c r="H774" s="73"/>
    </row>
    <row r="775" spans="2:9" ht="14.25" customHeight="1" x14ac:dyDescent="0.25">
      <c r="B775" s="58"/>
      <c r="C775" s="59"/>
      <c r="D775" s="776" t="s">
        <v>13</v>
      </c>
      <c r="E775" s="724"/>
      <c r="F775" s="85">
        <v>0.1</v>
      </c>
      <c r="G775" s="86">
        <f>I164</f>
        <v>33.38917849542414</v>
      </c>
      <c r="H775" s="87">
        <f>F775*G775</f>
        <v>3.3389178495424141</v>
      </c>
    </row>
    <row r="776" spans="2:9" ht="14.25" customHeight="1" thickBot="1" x14ac:dyDescent="0.3">
      <c r="B776" s="54"/>
      <c r="C776" s="55"/>
      <c r="D776" s="688" t="s">
        <v>182</v>
      </c>
      <c r="E776" s="689"/>
      <c r="F776" s="90">
        <v>0.1</v>
      </c>
      <c r="G776" s="86">
        <f>H770</f>
        <v>15.006833333333333</v>
      </c>
      <c r="H776" s="87">
        <f>F776*G776</f>
        <v>1.5006833333333334</v>
      </c>
    </row>
    <row r="777" spans="2:9" ht="15.75" thickBot="1" x14ac:dyDescent="0.3">
      <c r="B777" s="675"/>
      <c r="C777" s="676"/>
      <c r="D777" s="665" t="s">
        <v>345</v>
      </c>
      <c r="E777" s="678"/>
      <c r="F777" s="154"/>
      <c r="G777" s="155"/>
      <c r="H777" s="125">
        <f>H773+H775+H776</f>
        <v>6.6072729443447127</v>
      </c>
    </row>
    <row r="778" spans="2:9" ht="15.75" thickBot="1" x14ac:dyDescent="0.3">
      <c r="B778" s="126"/>
      <c r="C778" s="126"/>
      <c r="D778" s="184"/>
      <c r="E778" s="127"/>
      <c r="F778" s="156"/>
      <c r="G778" s="128"/>
      <c r="H778" s="130"/>
    </row>
    <row r="779" spans="2:9" ht="15.75" thickBot="1" x14ac:dyDescent="0.3">
      <c r="B779" s="42" t="s">
        <v>90</v>
      </c>
      <c r="C779" s="679" t="str">
        <f>C760</f>
        <v>STROJNO ORODJE (cena brez operaterja)</v>
      </c>
      <c r="D779" s="680"/>
      <c r="E779" s="680"/>
      <c r="F779" s="680"/>
      <c r="G779" s="680"/>
      <c r="H779" s="681"/>
      <c r="I779" s="99"/>
    </row>
    <row r="780" spans="2:9" ht="23.25" thickBot="1" x14ac:dyDescent="0.3">
      <c r="B780" s="682" t="s">
        <v>36</v>
      </c>
      <c r="C780" s="732"/>
      <c r="D780" s="692" t="s">
        <v>37</v>
      </c>
      <c r="E780" s="731"/>
      <c r="F780" s="140" t="s">
        <v>38</v>
      </c>
      <c r="G780" s="100" t="s">
        <v>40</v>
      </c>
      <c r="H780" s="101" t="s">
        <v>41</v>
      </c>
    </row>
    <row r="781" spans="2:9" ht="27" customHeight="1" x14ac:dyDescent="0.25">
      <c r="B781" s="684" t="s">
        <v>110</v>
      </c>
      <c r="C781" s="703"/>
      <c r="D781" s="694" t="str">
        <f>CENIK_št_1!B138</f>
        <v>Varilni aparat</v>
      </c>
      <c r="E781" s="695"/>
      <c r="F781" s="141">
        <v>1800</v>
      </c>
      <c r="G781" s="142"/>
      <c r="H781" s="143"/>
    </row>
    <row r="782" spans="2:9" x14ac:dyDescent="0.25">
      <c r="B782" s="104"/>
      <c r="C782" s="105"/>
      <c r="D782" s="696" t="s">
        <v>209</v>
      </c>
      <c r="E782" s="720"/>
      <c r="F782" s="144">
        <v>36</v>
      </c>
      <c r="G782" s="145"/>
      <c r="H782" s="146"/>
    </row>
    <row r="783" spans="2:9" x14ac:dyDescent="0.25">
      <c r="B783" s="104"/>
      <c r="C783" s="105"/>
      <c r="D783" s="696" t="s">
        <v>208</v>
      </c>
      <c r="E783" s="720"/>
      <c r="F783" s="144">
        <v>9.8000000000000007</v>
      </c>
      <c r="G783" s="145"/>
      <c r="H783" s="146"/>
    </row>
    <row r="784" spans="2:9" ht="24" customHeight="1" x14ac:dyDescent="0.25">
      <c r="B784" s="733"/>
      <c r="C784" s="734"/>
      <c r="D784" s="765" t="s">
        <v>212</v>
      </c>
      <c r="E784" s="758"/>
      <c r="F784" s="148"/>
      <c r="G784" s="106">
        <v>3.5</v>
      </c>
      <c r="H784" s="107">
        <f>F783*G784</f>
        <v>34.300000000000004</v>
      </c>
    </row>
    <row r="785" spans="2:8" ht="15.75" thickBot="1" x14ac:dyDescent="0.3">
      <c r="B785" s="733"/>
      <c r="C785" s="734"/>
      <c r="D785" s="755" t="s">
        <v>164</v>
      </c>
      <c r="E785" s="764"/>
      <c r="F785" s="149"/>
      <c r="G785" s="114"/>
      <c r="H785" s="113">
        <f>F781/F782</f>
        <v>50</v>
      </c>
    </row>
    <row r="786" spans="2:8" ht="15.75" thickTop="1" x14ac:dyDescent="0.25">
      <c r="B786" s="733"/>
      <c r="C786" s="734"/>
      <c r="D786" s="757" t="s">
        <v>158</v>
      </c>
      <c r="E786" s="756"/>
      <c r="F786" s="148"/>
      <c r="G786" s="114"/>
      <c r="H786" s="150">
        <f>SUM(H784:H785)</f>
        <v>84.300000000000011</v>
      </c>
    </row>
    <row r="787" spans="2:8" ht="15.75" thickBot="1" x14ac:dyDescent="0.3">
      <c r="B787" s="716"/>
      <c r="C787" s="717"/>
      <c r="D787" s="718" t="s">
        <v>207</v>
      </c>
      <c r="E787" s="719"/>
      <c r="F787" s="151"/>
      <c r="G787" s="153"/>
      <c r="H787" s="109">
        <f>(H786/F783)*0.05</f>
        <v>0.43010204081632653</v>
      </c>
    </row>
    <row r="788" spans="2:8" ht="15.75" thickBot="1" x14ac:dyDescent="0.3">
      <c r="B788" s="675"/>
      <c r="C788" s="676"/>
      <c r="D788" s="677" t="s">
        <v>40</v>
      </c>
      <c r="E788" s="678"/>
      <c r="F788" s="154"/>
      <c r="G788" s="155"/>
      <c r="H788" s="125">
        <f>(H786/F783)+H787</f>
        <v>9.0321428571428566</v>
      </c>
    </row>
    <row r="789" spans="2:8" ht="15.75" thickBot="1" x14ac:dyDescent="0.3">
      <c r="B789" s="126"/>
      <c r="C789" s="126"/>
      <c r="D789" s="127"/>
      <c r="E789" s="127"/>
      <c r="F789" s="156"/>
      <c r="G789" s="128"/>
      <c r="H789" s="130"/>
    </row>
    <row r="790" spans="2:8" ht="15.75" thickBot="1" x14ac:dyDescent="0.3">
      <c r="B790" s="42" t="s">
        <v>90</v>
      </c>
      <c r="C790" s="577" t="str">
        <f>CENIK_št_1!B118</f>
        <v>STROJNO ORODJE (cena brez operaterja)</v>
      </c>
      <c r="D790" s="578"/>
      <c r="E790" s="578"/>
      <c r="F790" s="578"/>
      <c r="G790" s="578"/>
      <c r="H790" s="579"/>
    </row>
    <row r="791" spans="2:8" ht="25.5" customHeight="1" thickBot="1" x14ac:dyDescent="0.3">
      <c r="B791" s="649" t="s">
        <v>36</v>
      </c>
      <c r="C791" s="702"/>
      <c r="D791" s="649" t="str">
        <f>D780</f>
        <v>OPIS</v>
      </c>
      <c r="E791" s="702"/>
      <c r="F791" s="189" t="s">
        <v>38</v>
      </c>
      <c r="G791" s="48" t="s">
        <v>40</v>
      </c>
      <c r="H791" s="49" t="s">
        <v>41</v>
      </c>
    </row>
    <row r="792" spans="2:8" ht="28.5" customHeight="1" x14ac:dyDescent="0.25">
      <c r="B792" s="684" t="s">
        <v>461</v>
      </c>
      <c r="C792" s="703"/>
      <c r="D792" s="694" t="str">
        <f>CENIK_št_1!B139</f>
        <v>Snemalna naprava za snemanje cevnih sistemov</v>
      </c>
      <c r="E792" s="695"/>
      <c r="F792" s="190">
        <v>18500</v>
      </c>
      <c r="G792" s="191"/>
      <c r="H792" s="192"/>
    </row>
    <row r="793" spans="2:8" x14ac:dyDescent="0.25">
      <c r="B793" s="54"/>
      <c r="C793" s="55"/>
      <c r="D793" s="735" t="s">
        <v>209</v>
      </c>
      <c r="E793" s="736"/>
      <c r="F793" s="193">
        <f>12*7</f>
        <v>84</v>
      </c>
      <c r="G793" s="194"/>
      <c r="H793" s="195"/>
    </row>
    <row r="794" spans="2:8" x14ac:dyDescent="0.25">
      <c r="B794" s="54"/>
      <c r="C794" s="55"/>
      <c r="D794" s="735" t="s">
        <v>208</v>
      </c>
      <c r="E794" s="736"/>
      <c r="F794" s="193">
        <v>10</v>
      </c>
      <c r="G794" s="194"/>
      <c r="H794" s="195"/>
    </row>
    <row r="795" spans="2:8" x14ac:dyDescent="0.25">
      <c r="B795" s="705"/>
      <c r="C795" s="706"/>
      <c r="D795" s="688" t="s">
        <v>212</v>
      </c>
      <c r="E795" s="689"/>
      <c r="F795" s="197"/>
      <c r="G795" s="24">
        <v>3.5</v>
      </c>
      <c r="H795" s="25">
        <f>F794*G795</f>
        <v>35</v>
      </c>
    </row>
    <row r="796" spans="2:8" ht="15.75" thickBot="1" x14ac:dyDescent="0.3">
      <c r="B796" s="705"/>
      <c r="C796" s="706"/>
      <c r="D796" s="704" t="s">
        <v>164</v>
      </c>
      <c r="E796" s="660"/>
      <c r="F796" s="198"/>
      <c r="G796" s="23"/>
      <c r="H796" s="26">
        <f>F792/F793</f>
        <v>220.23809523809524</v>
      </c>
    </row>
    <row r="797" spans="2:8" ht="15.75" thickTop="1" x14ac:dyDescent="0.25">
      <c r="B797" s="705"/>
      <c r="C797" s="706"/>
      <c r="D797" s="659" t="s">
        <v>158</v>
      </c>
      <c r="E797" s="707"/>
      <c r="F797" s="197"/>
      <c r="G797" s="23"/>
      <c r="H797" s="199">
        <f>SUM(H795:H796)</f>
        <v>255.23809523809524</v>
      </c>
    </row>
    <row r="798" spans="2:8" ht="15.75" thickBot="1" x14ac:dyDescent="0.3">
      <c r="B798" s="708"/>
      <c r="C798" s="709"/>
      <c r="D798" s="710" t="s">
        <v>207</v>
      </c>
      <c r="E798" s="711"/>
      <c r="F798" s="200"/>
      <c r="G798" s="201"/>
      <c r="H798" s="29">
        <f>(H797/F794)*0.05</f>
        <v>1.2761904761904763</v>
      </c>
    </row>
    <row r="799" spans="2:8" ht="15.75" thickBot="1" x14ac:dyDescent="0.3">
      <c r="B799" s="663"/>
      <c r="C799" s="664"/>
      <c r="D799" s="665" t="s">
        <v>40</v>
      </c>
      <c r="E799" s="666"/>
      <c r="F799" s="202"/>
      <c r="G799" s="203"/>
      <c r="H799" s="50">
        <f>(H797/F794)+H798</f>
        <v>26.8</v>
      </c>
    </row>
    <row r="800" spans="2:8" ht="15.75" thickBot="1" x14ac:dyDescent="0.3">
      <c r="B800" s="126"/>
      <c r="C800" s="126"/>
      <c r="D800" s="127"/>
      <c r="E800" s="127"/>
      <c r="F800" s="156"/>
      <c r="G800" s="128"/>
      <c r="H800" s="130"/>
    </row>
    <row r="801" spans="2:10" ht="15.75" thickBot="1" x14ac:dyDescent="0.3">
      <c r="B801" s="42" t="s">
        <v>90</v>
      </c>
      <c r="C801" s="577" t="s">
        <v>50</v>
      </c>
      <c r="D801" s="578"/>
      <c r="E801" s="578"/>
      <c r="F801" s="578"/>
      <c r="G801" s="578"/>
      <c r="H801" s="579"/>
    </row>
    <row r="802" spans="2:10" ht="23.25" thickBot="1" x14ac:dyDescent="0.3">
      <c r="B802" s="649" t="s">
        <v>36</v>
      </c>
      <c r="C802" s="702"/>
      <c r="D802" s="651" t="s">
        <v>37</v>
      </c>
      <c r="E802" s="652"/>
      <c r="F802" s="189" t="s">
        <v>38</v>
      </c>
      <c r="G802" s="48" t="s">
        <v>40</v>
      </c>
      <c r="H802" s="49" t="s">
        <v>41</v>
      </c>
    </row>
    <row r="803" spans="2:10" ht="27" customHeight="1" x14ac:dyDescent="0.25">
      <c r="B803" s="684" t="s">
        <v>473</v>
      </c>
      <c r="C803" s="703"/>
      <c r="D803" s="694" t="str">
        <f>CENIK_št_1!B140</f>
        <v>Električni stroj za čiščenje odtočnih cevi Ridgid</v>
      </c>
      <c r="E803" s="695"/>
      <c r="F803" s="190">
        <v>1600</v>
      </c>
      <c r="G803" s="191"/>
      <c r="H803" s="192"/>
    </row>
    <row r="804" spans="2:10" x14ac:dyDescent="0.25">
      <c r="B804" s="54"/>
      <c r="C804" s="55"/>
      <c r="D804" s="735" t="s">
        <v>209</v>
      </c>
      <c r="E804" s="736"/>
      <c r="F804" s="193">
        <v>12</v>
      </c>
      <c r="G804" s="194"/>
      <c r="H804" s="195"/>
    </row>
    <row r="805" spans="2:10" x14ac:dyDescent="0.25">
      <c r="B805" s="54"/>
      <c r="C805" s="55"/>
      <c r="D805" s="735" t="s">
        <v>208</v>
      </c>
      <c r="E805" s="736"/>
      <c r="F805" s="193">
        <v>10</v>
      </c>
      <c r="G805" s="194"/>
      <c r="H805" s="195"/>
    </row>
    <row r="806" spans="2:10" x14ac:dyDescent="0.25">
      <c r="B806" s="705"/>
      <c r="C806" s="706"/>
      <c r="D806" s="688" t="s">
        <v>212</v>
      </c>
      <c r="E806" s="689"/>
      <c r="F806" s="197"/>
      <c r="G806" s="24">
        <v>3.5</v>
      </c>
      <c r="H806" s="25">
        <f>F805*G806</f>
        <v>35</v>
      </c>
    </row>
    <row r="807" spans="2:10" ht="15.75" thickBot="1" x14ac:dyDescent="0.3">
      <c r="B807" s="705"/>
      <c r="C807" s="706"/>
      <c r="D807" s="704" t="s">
        <v>164</v>
      </c>
      <c r="E807" s="660"/>
      <c r="F807" s="198"/>
      <c r="G807" s="23"/>
      <c r="H807" s="26">
        <f>F803/F804</f>
        <v>133.33333333333334</v>
      </c>
    </row>
    <row r="808" spans="2:10" ht="15.75" thickTop="1" x14ac:dyDescent="0.25">
      <c r="B808" s="705"/>
      <c r="C808" s="706"/>
      <c r="D808" s="659" t="s">
        <v>158</v>
      </c>
      <c r="E808" s="707"/>
      <c r="F808" s="197"/>
      <c r="G808" s="23"/>
      <c r="H808" s="199">
        <f>SUM(H806:H807)</f>
        <v>168.33333333333334</v>
      </c>
    </row>
    <row r="809" spans="2:10" ht="15.75" thickBot="1" x14ac:dyDescent="0.3">
      <c r="B809" s="708"/>
      <c r="C809" s="709"/>
      <c r="D809" s="710" t="s">
        <v>207</v>
      </c>
      <c r="E809" s="711"/>
      <c r="F809" s="200"/>
      <c r="G809" s="201"/>
      <c r="H809" s="29">
        <f>(H808/F805)*0.05</f>
        <v>0.84166666666666679</v>
      </c>
    </row>
    <row r="810" spans="2:10" ht="15.75" thickBot="1" x14ac:dyDescent="0.3">
      <c r="B810" s="663"/>
      <c r="C810" s="664"/>
      <c r="D810" s="665" t="s">
        <v>40</v>
      </c>
      <c r="E810" s="666"/>
      <c r="F810" s="202"/>
      <c r="G810" s="203"/>
      <c r="H810" s="50">
        <f>(H808/F805)+H809</f>
        <v>17.675000000000004</v>
      </c>
    </row>
    <row r="811" spans="2:10" x14ac:dyDescent="0.25">
      <c r="B811" s="126"/>
      <c r="C811" s="126"/>
      <c r="D811" s="127"/>
      <c r="E811" s="127"/>
      <c r="F811" s="156"/>
      <c r="G811" s="128"/>
      <c r="H811" s="130"/>
    </row>
    <row r="812" spans="2:10" ht="15.75" thickBot="1" x14ac:dyDescent="0.3"/>
    <row r="813" spans="2:10" ht="15.75" thickBot="1" x14ac:dyDescent="0.3">
      <c r="B813" s="577" t="s">
        <v>130</v>
      </c>
      <c r="C813" s="579"/>
      <c r="D813" s="583" t="str">
        <f>CENIK_št_1!B146</f>
        <v>DELA CESTNEGA GOSPODARSTVA</v>
      </c>
      <c r="E813" s="584"/>
      <c r="F813" s="584"/>
      <c r="G813" s="584"/>
      <c r="H813" s="584"/>
      <c r="I813" s="584"/>
      <c r="J813" s="585"/>
    </row>
    <row r="814" spans="2:10" ht="23.25" customHeight="1" thickBot="1" x14ac:dyDescent="0.3">
      <c r="B814" s="649" t="s">
        <v>36</v>
      </c>
      <c r="C814" s="650"/>
      <c r="D814" s="651" t="s">
        <v>37</v>
      </c>
      <c r="E814" s="652"/>
      <c r="F814" s="48" t="s">
        <v>167</v>
      </c>
      <c r="G814" s="48" t="s">
        <v>156</v>
      </c>
      <c r="H814" s="48" t="s">
        <v>172</v>
      </c>
      <c r="I814" s="61" t="s">
        <v>183</v>
      </c>
      <c r="J814" s="49" t="s">
        <v>41</v>
      </c>
    </row>
    <row r="815" spans="2:10" ht="24" customHeight="1" x14ac:dyDescent="0.25">
      <c r="B815" s="653" t="s">
        <v>132</v>
      </c>
      <c r="C815" s="654"/>
      <c r="D815" s="655" t="str">
        <f>CENIK_št_1!B147</f>
        <v>Priprava izrisa cestne zapore po dovoljenju.</v>
      </c>
      <c r="E815" s="656"/>
      <c r="F815" s="76"/>
      <c r="G815" s="76"/>
      <c r="H815" s="76"/>
      <c r="I815" s="76"/>
      <c r="J815" s="77"/>
    </row>
    <row r="816" spans="2:10" x14ac:dyDescent="0.25">
      <c r="B816" s="657"/>
      <c r="C816" s="658"/>
      <c r="D816" s="704" t="s">
        <v>168</v>
      </c>
      <c r="E816" s="660"/>
      <c r="F816" s="23"/>
      <c r="G816" s="52"/>
      <c r="H816" s="23"/>
      <c r="I816" s="23"/>
      <c r="J816" s="25"/>
    </row>
    <row r="817" spans="1:11" ht="26.25" customHeight="1" x14ac:dyDescent="0.25">
      <c r="B817" s="54"/>
      <c r="C817" s="55"/>
      <c r="D817" s="774" t="str">
        <f>CENIK_št_1!B42</f>
        <v>Strokovna dela (nadzor, vodenje, pregledi objektov, izdelava poročil, izvedbeni načrti)</v>
      </c>
      <c r="E817" s="775"/>
      <c r="F817" s="23">
        <v>2</v>
      </c>
      <c r="G817" s="24">
        <f>CENIK_št_1!K42</f>
        <v>29.57</v>
      </c>
      <c r="H817" s="23"/>
      <c r="I817" s="23"/>
      <c r="J817" s="25">
        <f>F817*G817</f>
        <v>59.14</v>
      </c>
    </row>
    <row r="818" spans="1:11" ht="15" customHeight="1" x14ac:dyDescent="0.25">
      <c r="B818" s="58"/>
      <c r="C818" s="59"/>
      <c r="D818" s="688" t="s">
        <v>194</v>
      </c>
      <c r="E818" s="689"/>
      <c r="F818" s="27"/>
      <c r="G818" s="74"/>
      <c r="H818" s="27"/>
      <c r="I818" s="27"/>
      <c r="J818" s="73"/>
    </row>
    <row r="819" spans="1:11" ht="15" customHeight="1" x14ac:dyDescent="0.25">
      <c r="B819" s="58"/>
      <c r="C819" s="59"/>
      <c r="D819" s="776" t="s">
        <v>195</v>
      </c>
      <c r="E819" s="724"/>
      <c r="F819" s="23">
        <v>2</v>
      </c>
      <c r="G819" s="86">
        <v>6</v>
      </c>
      <c r="H819" s="84"/>
      <c r="I819" s="84"/>
      <c r="J819" s="87">
        <f>F819*G819</f>
        <v>12</v>
      </c>
    </row>
    <row r="820" spans="1:11" x14ac:dyDescent="0.25">
      <c r="A820"/>
      <c r="B820" s="657"/>
      <c r="C820" s="658"/>
      <c r="D820" s="704" t="s">
        <v>170</v>
      </c>
      <c r="E820" s="660"/>
      <c r="F820" s="23"/>
      <c r="G820" s="52"/>
      <c r="H820" s="23"/>
      <c r="I820" s="23"/>
      <c r="J820" s="25"/>
      <c r="K820"/>
    </row>
    <row r="821" spans="1:11" customFormat="1" ht="18" customHeight="1" x14ac:dyDescent="0.25">
      <c r="B821" s="54"/>
      <c r="C821" s="55"/>
      <c r="D821" s="770" t="s">
        <v>223</v>
      </c>
      <c r="E821" s="771"/>
      <c r="F821" s="23"/>
      <c r="G821" s="24"/>
      <c r="H821" s="23">
        <v>0.01</v>
      </c>
      <c r="I821" s="23">
        <v>1</v>
      </c>
      <c r="J821" s="25">
        <f>H821*I821</f>
        <v>0.01</v>
      </c>
    </row>
    <row r="822" spans="1:11" customFormat="1" ht="15" customHeight="1" thickBot="1" x14ac:dyDescent="0.3">
      <c r="B822" s="58"/>
      <c r="C822" s="59"/>
      <c r="D822" s="688" t="s">
        <v>346</v>
      </c>
      <c r="E822" s="689"/>
      <c r="F822" s="27"/>
      <c r="G822" s="74"/>
      <c r="H822" s="23">
        <v>1</v>
      </c>
      <c r="I822" s="23">
        <v>1</v>
      </c>
      <c r="J822" s="25">
        <f>H822*I822</f>
        <v>1</v>
      </c>
    </row>
    <row r="823" spans="1:11" customFormat="1" ht="15" customHeight="1" thickBot="1" x14ac:dyDescent="0.3">
      <c r="A823" s="98"/>
      <c r="B823" s="663"/>
      <c r="C823" s="664"/>
      <c r="D823" s="665" t="s">
        <v>196</v>
      </c>
      <c r="E823" s="666"/>
      <c r="F823" s="22"/>
      <c r="G823" s="60"/>
      <c r="H823" s="22"/>
      <c r="I823" s="22">
        <v>1</v>
      </c>
      <c r="J823" s="50">
        <f>SUM(J817:J822)</f>
        <v>72.150000000000006</v>
      </c>
      <c r="K823" s="98"/>
    </row>
    <row r="824" spans="1:11" ht="15.75" thickBot="1" x14ac:dyDescent="0.3"/>
    <row r="825" spans="1:11" ht="15.75" thickBot="1" x14ac:dyDescent="0.3">
      <c r="B825" s="577" t="s">
        <v>130</v>
      </c>
      <c r="C825" s="579"/>
      <c r="D825" s="583" t="str">
        <f>CENIK_št_1!B146</f>
        <v>DELA CESTNEGA GOSPODARSTVA</v>
      </c>
      <c r="E825" s="584"/>
      <c r="F825" s="584"/>
      <c r="G825" s="584"/>
      <c r="H825" s="584"/>
      <c r="I825" s="584"/>
      <c r="J825" s="585"/>
    </row>
    <row r="826" spans="1:11" ht="23.25" customHeight="1" thickBot="1" x14ac:dyDescent="0.3">
      <c r="B826" s="649" t="s">
        <v>36</v>
      </c>
      <c r="C826" s="650"/>
      <c r="D826" s="651" t="s">
        <v>37</v>
      </c>
      <c r="E826" s="652"/>
      <c r="F826" s="48" t="s">
        <v>167</v>
      </c>
      <c r="G826" s="48" t="s">
        <v>156</v>
      </c>
      <c r="H826" s="48" t="s">
        <v>172</v>
      </c>
      <c r="I826" s="61" t="s">
        <v>183</v>
      </c>
      <c r="J826" s="49" t="s">
        <v>41</v>
      </c>
    </row>
    <row r="827" spans="1:11" ht="24.75" customHeight="1" x14ac:dyDescent="0.25">
      <c r="B827" s="653" t="s">
        <v>133</v>
      </c>
      <c r="C827" s="654"/>
      <c r="D827" s="655" t="str">
        <f>CENIK_št_1!B148</f>
        <v>Postavitev cestne zapore po dovoljenju.</v>
      </c>
      <c r="E827" s="656"/>
      <c r="F827" s="76"/>
      <c r="G827" s="76"/>
      <c r="H827" s="76"/>
      <c r="I827" s="76"/>
      <c r="J827" s="77"/>
    </row>
    <row r="828" spans="1:11" ht="25.5" customHeight="1" x14ac:dyDescent="0.25">
      <c r="B828" s="657"/>
      <c r="C828" s="658"/>
      <c r="D828" s="704" t="s">
        <v>168</v>
      </c>
      <c r="E828" s="660"/>
      <c r="F828" s="23"/>
      <c r="G828" s="52"/>
      <c r="H828" s="23"/>
      <c r="I828" s="23"/>
      <c r="J828" s="25"/>
    </row>
    <row r="829" spans="1:11" ht="25.5" customHeight="1" x14ac:dyDescent="0.25">
      <c r="B829" s="54"/>
      <c r="C829" s="55"/>
      <c r="D829" s="661" t="str">
        <f>CENIK_št_1!B41</f>
        <v>Delovodja, Skupinovodja, Preglednik, Dispečer, Voznik, Strojnik</v>
      </c>
      <c r="E829" s="662"/>
      <c r="F829" s="23">
        <v>1.5</v>
      </c>
      <c r="G829" s="24">
        <f>CENIK_št_1!K41</f>
        <v>21.02</v>
      </c>
      <c r="H829" s="23"/>
      <c r="I829" s="23"/>
      <c r="J829" s="25">
        <f>F829*G829</f>
        <v>31.53</v>
      </c>
    </row>
    <row r="830" spans="1:11" x14ac:dyDescent="0.25">
      <c r="B830" s="54"/>
      <c r="C830" s="55"/>
      <c r="D830" s="661" t="str">
        <f>CENIK_št_1!B40</f>
        <v xml:space="preserve">Komunalni delavec </v>
      </c>
      <c r="E830" s="662"/>
      <c r="F830" s="23">
        <v>3</v>
      </c>
      <c r="G830" s="24">
        <f>CENIK_št_1!K40</f>
        <v>20.75</v>
      </c>
      <c r="H830" s="23"/>
      <c r="I830" s="23"/>
      <c r="J830" s="73">
        <f>F830*G830</f>
        <v>62.25</v>
      </c>
    </row>
    <row r="831" spans="1:11" ht="15" customHeight="1" x14ac:dyDescent="0.25">
      <c r="B831" s="58"/>
      <c r="C831" s="59"/>
      <c r="D831" s="688" t="s">
        <v>169</v>
      </c>
      <c r="E831" s="689"/>
      <c r="F831" s="27"/>
      <c r="G831" s="74"/>
      <c r="H831" s="27"/>
      <c r="I831" s="27"/>
      <c r="J831" s="73"/>
    </row>
    <row r="832" spans="1:11" ht="18.75" customHeight="1" thickBot="1" x14ac:dyDescent="0.3">
      <c r="B832" s="58"/>
      <c r="C832" s="59"/>
      <c r="D832" s="723" t="str">
        <f>CENIK_št_1!B63</f>
        <v>Tovorno vozilo do 3,5 t sdm</v>
      </c>
      <c r="E832" s="724"/>
      <c r="F832" s="85">
        <v>1.5</v>
      </c>
      <c r="G832" s="86">
        <f>CENIK_št_1!K63</f>
        <v>33.81</v>
      </c>
      <c r="H832" s="84"/>
      <c r="I832" s="84"/>
      <c r="J832" s="87">
        <f>F832*G832</f>
        <v>50.715000000000003</v>
      </c>
    </row>
    <row r="833" spans="2:10" ht="15" customHeight="1" thickBot="1" x14ac:dyDescent="0.3">
      <c r="B833" s="663"/>
      <c r="C833" s="664"/>
      <c r="D833" s="665" t="s">
        <v>196</v>
      </c>
      <c r="E833" s="666"/>
      <c r="F833" s="22"/>
      <c r="G833" s="60"/>
      <c r="H833" s="22"/>
      <c r="I833" s="22">
        <v>1</v>
      </c>
      <c r="J833" s="50">
        <f>SUM(J829:J832)</f>
        <v>144.495</v>
      </c>
    </row>
    <row r="834" spans="2:10" ht="15.75" thickBot="1" x14ac:dyDescent="0.3"/>
    <row r="835" spans="2:10" ht="15.75" thickBot="1" x14ac:dyDescent="0.3">
      <c r="B835" s="577" t="s">
        <v>130</v>
      </c>
      <c r="C835" s="579"/>
      <c r="D835" s="583" t="str">
        <f>D825</f>
        <v>DELA CESTNEGA GOSPODARSTVA</v>
      </c>
      <c r="E835" s="584"/>
      <c r="F835" s="584"/>
      <c r="G835" s="584"/>
      <c r="H835" s="584"/>
      <c r="I835" s="584"/>
      <c r="J835" s="585"/>
    </row>
    <row r="836" spans="2:10" ht="23.25" customHeight="1" thickBot="1" x14ac:dyDescent="0.3">
      <c r="B836" s="649" t="s">
        <v>36</v>
      </c>
      <c r="C836" s="650"/>
      <c r="D836" s="651" t="s">
        <v>37</v>
      </c>
      <c r="E836" s="652"/>
      <c r="F836" s="48" t="s">
        <v>167</v>
      </c>
      <c r="G836" s="48" t="s">
        <v>156</v>
      </c>
      <c r="H836" s="48" t="s">
        <v>172</v>
      </c>
      <c r="I836" s="61" t="s">
        <v>183</v>
      </c>
      <c r="J836" s="49" t="s">
        <v>41</v>
      </c>
    </row>
    <row r="837" spans="2:10" ht="23.25" customHeight="1" x14ac:dyDescent="0.25">
      <c r="B837" s="653" t="s">
        <v>134</v>
      </c>
      <c r="C837" s="654"/>
      <c r="D837" s="655" t="str">
        <f>CENIK_št_1!B149</f>
        <v>Postavitev interventne cestne zapore.</v>
      </c>
      <c r="E837" s="656"/>
      <c r="F837" s="76"/>
      <c r="G837" s="76"/>
      <c r="H837" s="76"/>
      <c r="I837" s="76"/>
      <c r="J837" s="77"/>
    </row>
    <row r="838" spans="2:10" ht="25.5" customHeight="1" x14ac:dyDescent="0.25">
      <c r="B838" s="657"/>
      <c r="C838" s="658"/>
      <c r="D838" s="704" t="s">
        <v>168</v>
      </c>
      <c r="E838" s="660"/>
      <c r="F838" s="23"/>
      <c r="G838" s="52"/>
      <c r="H838" s="23"/>
      <c r="I838" s="23"/>
      <c r="J838" s="25"/>
    </row>
    <row r="839" spans="2:10" x14ac:dyDescent="0.25">
      <c r="B839" s="54"/>
      <c r="C839" s="55"/>
      <c r="D839" s="661" t="str">
        <f>D829</f>
        <v>Delovodja, Skupinovodja, Preglednik, Dispečer, Voznik, Strojnik</v>
      </c>
      <c r="E839" s="662"/>
      <c r="F839" s="23">
        <v>1.5</v>
      </c>
      <c r="G839" s="24">
        <f>G829</f>
        <v>21.02</v>
      </c>
      <c r="H839" s="23"/>
      <c r="I839" s="23"/>
      <c r="J839" s="25">
        <f>F839*G839</f>
        <v>31.53</v>
      </c>
    </row>
    <row r="840" spans="2:10" ht="23.25" customHeight="1" x14ac:dyDescent="0.25">
      <c r="B840" s="54"/>
      <c r="C840" s="55"/>
      <c r="D840" s="661" t="str">
        <f>D830</f>
        <v xml:space="preserve">Komunalni delavec </v>
      </c>
      <c r="E840" s="662"/>
      <c r="F840" s="23">
        <v>3</v>
      </c>
      <c r="G840" s="24">
        <f>G830</f>
        <v>20.75</v>
      </c>
      <c r="H840" s="23"/>
      <c r="I840" s="23"/>
      <c r="J840" s="73">
        <f>F840*G840</f>
        <v>62.25</v>
      </c>
    </row>
    <row r="841" spans="2:10" ht="15" customHeight="1" x14ac:dyDescent="0.25">
      <c r="B841" s="58"/>
      <c r="C841" s="59"/>
      <c r="D841" s="688" t="s">
        <v>169</v>
      </c>
      <c r="E841" s="689"/>
      <c r="F841" s="27"/>
      <c r="G841" s="74"/>
      <c r="H841" s="27"/>
      <c r="I841" s="27"/>
      <c r="J841" s="73"/>
    </row>
    <row r="842" spans="2:10" ht="15" customHeight="1" x14ac:dyDescent="0.25">
      <c r="B842" s="58"/>
      <c r="C842" s="59"/>
      <c r="D842" s="723" t="str">
        <f>D832</f>
        <v>Tovorno vozilo do 3,5 t sdm</v>
      </c>
      <c r="E842" s="724"/>
      <c r="F842" s="85">
        <v>1.5</v>
      </c>
      <c r="G842" s="86">
        <f>G832</f>
        <v>33.81</v>
      </c>
      <c r="H842" s="84"/>
      <c r="I842" s="84"/>
      <c r="J842" s="87">
        <f>F842*G842</f>
        <v>50.715000000000003</v>
      </c>
    </row>
    <row r="843" spans="2:10" ht="27.75" customHeight="1" thickBot="1" x14ac:dyDescent="0.3">
      <c r="B843" s="705"/>
      <c r="C843" s="706"/>
      <c r="D843" s="762" t="s">
        <v>224</v>
      </c>
      <c r="E843" s="763"/>
      <c r="F843" s="176">
        <v>0.35</v>
      </c>
      <c r="G843" s="96"/>
      <c r="H843" s="84"/>
      <c r="I843" s="84"/>
      <c r="J843" s="97">
        <f>(J839+J840)*0.35</f>
        <v>32.823</v>
      </c>
    </row>
    <row r="844" spans="2:10" ht="29.25" customHeight="1" thickBot="1" x14ac:dyDescent="0.3">
      <c r="B844" s="663"/>
      <c r="C844" s="664"/>
      <c r="D844" s="665" t="s">
        <v>196</v>
      </c>
      <c r="E844" s="666"/>
      <c r="F844" s="22"/>
      <c r="G844" s="60"/>
      <c r="H844" s="22"/>
      <c r="I844" s="22">
        <v>1</v>
      </c>
      <c r="J844" s="50">
        <f>SUM(J839:J843)</f>
        <v>177.31800000000001</v>
      </c>
    </row>
    <row r="845" spans="2:10" ht="15.75" thickBot="1" x14ac:dyDescent="0.3"/>
    <row r="846" spans="2:10" ht="15.75" thickBot="1" x14ac:dyDescent="0.3">
      <c r="B846" s="577" t="s">
        <v>130</v>
      </c>
      <c r="C846" s="579"/>
      <c r="D846" s="583" t="str">
        <f>D835</f>
        <v>DELA CESTNEGA GOSPODARSTVA</v>
      </c>
      <c r="E846" s="584"/>
      <c r="F846" s="584"/>
      <c r="G846" s="584"/>
      <c r="H846" s="584"/>
      <c r="I846" s="584"/>
      <c r="J846" s="585"/>
    </row>
    <row r="847" spans="2:10" ht="23.25" customHeight="1" thickBot="1" x14ac:dyDescent="0.3">
      <c r="B847" s="649" t="s">
        <v>36</v>
      </c>
      <c r="C847" s="650"/>
      <c r="D847" s="651" t="s">
        <v>37</v>
      </c>
      <c r="E847" s="652"/>
      <c r="F847" s="48" t="s">
        <v>167</v>
      </c>
      <c r="G847" s="48" t="s">
        <v>156</v>
      </c>
      <c r="H847" s="48" t="s">
        <v>172</v>
      </c>
      <c r="I847" s="61" t="s">
        <v>183</v>
      </c>
      <c r="J847" s="49" t="s">
        <v>41</v>
      </c>
    </row>
    <row r="848" spans="2:10" ht="27" customHeight="1" x14ac:dyDescent="0.25">
      <c r="B848" s="653" t="s">
        <v>135</v>
      </c>
      <c r="C848" s="654"/>
      <c r="D848" s="655" t="str">
        <f>CENIK_št_1!B150</f>
        <v>Postavitev cestno prometnega znaka (zamenjava droga + pz, brez materiala).</v>
      </c>
      <c r="E848" s="656"/>
      <c r="F848" s="76"/>
      <c r="G848" s="76"/>
      <c r="H848" s="76"/>
      <c r="I848" s="76"/>
      <c r="J848" s="77"/>
    </row>
    <row r="849" spans="2:10" ht="27" customHeight="1" x14ac:dyDescent="0.25">
      <c r="B849" s="657"/>
      <c r="C849" s="658"/>
      <c r="D849" s="704" t="s">
        <v>168</v>
      </c>
      <c r="E849" s="660"/>
      <c r="F849" s="23"/>
      <c r="G849" s="52"/>
      <c r="H849" s="23"/>
      <c r="I849" s="23"/>
      <c r="J849" s="25"/>
    </row>
    <row r="850" spans="2:10" ht="24.75" customHeight="1" x14ac:dyDescent="0.25">
      <c r="B850" s="54"/>
      <c r="C850" s="55"/>
      <c r="D850" s="661" t="str">
        <f>CENIK_št_1!B41</f>
        <v>Delovodja, Skupinovodja, Preglednik, Dispečer, Voznik, Strojnik</v>
      </c>
      <c r="E850" s="662"/>
      <c r="F850" s="23">
        <v>1</v>
      </c>
      <c r="G850" s="24">
        <f>CENIK_št_1!K41</f>
        <v>21.02</v>
      </c>
      <c r="H850" s="23"/>
      <c r="I850" s="23"/>
      <c r="J850" s="25">
        <f>F850*G850</f>
        <v>21.02</v>
      </c>
    </row>
    <row r="851" spans="2:10" x14ac:dyDescent="0.25">
      <c r="B851" s="54"/>
      <c r="C851" s="55"/>
      <c r="D851" s="661" t="str">
        <f>CENIK_št_1!B40</f>
        <v xml:space="preserve">Komunalni delavec </v>
      </c>
      <c r="E851" s="662"/>
      <c r="F851" s="23">
        <v>2</v>
      </c>
      <c r="G851" s="24">
        <f>G840</f>
        <v>20.75</v>
      </c>
      <c r="H851" s="23"/>
      <c r="I851" s="23"/>
      <c r="J851" s="73">
        <f>F851*G851</f>
        <v>41.5</v>
      </c>
    </row>
    <row r="852" spans="2:10" ht="15" customHeight="1" x14ac:dyDescent="0.25">
      <c r="B852" s="58"/>
      <c r="C852" s="59"/>
      <c r="D852" s="688" t="s">
        <v>169</v>
      </c>
      <c r="E852" s="689"/>
      <c r="F852" s="27"/>
      <c r="G852" s="74"/>
      <c r="H852" s="27"/>
      <c r="I852" s="27"/>
      <c r="J852" s="73"/>
    </row>
    <row r="853" spans="2:10" ht="15.75" customHeight="1" thickBot="1" x14ac:dyDescent="0.3">
      <c r="B853" s="58"/>
      <c r="C853" s="59"/>
      <c r="D853" s="723" t="str">
        <f>D842</f>
        <v>Tovorno vozilo do 3,5 t sdm</v>
      </c>
      <c r="E853" s="724"/>
      <c r="F853" s="85">
        <v>1</v>
      </c>
      <c r="G853" s="86">
        <f>G842</f>
        <v>33.81</v>
      </c>
      <c r="H853" s="84"/>
      <c r="I853" s="84"/>
      <c r="J853" s="87">
        <f>F853*G853</f>
        <v>33.81</v>
      </c>
    </row>
    <row r="854" spans="2:10" ht="15.75" thickBot="1" x14ac:dyDescent="0.3">
      <c r="B854" s="663"/>
      <c r="C854" s="664"/>
      <c r="D854" s="665" t="s">
        <v>196</v>
      </c>
      <c r="E854" s="666"/>
      <c r="F854" s="22"/>
      <c r="G854" s="60"/>
      <c r="H854" s="22"/>
      <c r="I854" s="22">
        <v>1</v>
      </c>
      <c r="J854" s="50">
        <f>SUM(J850:J853)</f>
        <v>96.33</v>
      </c>
    </row>
    <row r="855" spans="2:10" ht="15.75" thickBot="1" x14ac:dyDescent="0.3"/>
    <row r="856" spans="2:10" ht="15.75" thickBot="1" x14ac:dyDescent="0.3">
      <c r="B856" s="577" t="s">
        <v>130</v>
      </c>
      <c r="C856" s="579"/>
      <c r="D856" s="583" t="str">
        <f>D846</f>
        <v>DELA CESTNEGA GOSPODARSTVA</v>
      </c>
      <c r="E856" s="584"/>
      <c r="F856" s="584"/>
      <c r="G856" s="584"/>
      <c r="H856" s="584"/>
      <c r="I856" s="584"/>
      <c r="J856" s="585"/>
    </row>
    <row r="857" spans="2:10" ht="23.25" customHeight="1" thickBot="1" x14ac:dyDescent="0.3">
      <c r="B857" s="649" t="s">
        <v>36</v>
      </c>
      <c r="C857" s="650"/>
      <c r="D857" s="651" t="s">
        <v>37</v>
      </c>
      <c r="E857" s="652"/>
      <c r="F857" s="48" t="s">
        <v>167</v>
      </c>
      <c r="G857" s="48" t="s">
        <v>156</v>
      </c>
      <c r="H857" s="48" t="s">
        <v>172</v>
      </c>
      <c r="I857" s="61" t="s">
        <v>183</v>
      </c>
      <c r="J857" s="49" t="s">
        <v>41</v>
      </c>
    </row>
    <row r="858" spans="2:10" ht="24" customHeight="1" x14ac:dyDescent="0.25">
      <c r="B858" s="653" t="s">
        <v>137</v>
      </c>
      <c r="C858" s="654"/>
      <c r="D858" s="655" t="str">
        <f>CENIK_št_1!B151</f>
        <v>Zamenjava cestno prometnega znaka.(zamenjava pz, brez materiala)</v>
      </c>
      <c r="E858" s="656"/>
      <c r="F858" s="76"/>
      <c r="G858" s="76"/>
      <c r="H858" s="76"/>
      <c r="I858" s="76"/>
      <c r="J858" s="77"/>
    </row>
    <row r="859" spans="2:10" ht="27" customHeight="1" x14ac:dyDescent="0.25">
      <c r="B859" s="657"/>
      <c r="C859" s="658"/>
      <c r="D859" s="704" t="s">
        <v>168</v>
      </c>
      <c r="E859" s="660"/>
      <c r="F859" s="23"/>
      <c r="G859" s="52"/>
      <c r="H859" s="23"/>
      <c r="I859" s="23"/>
      <c r="J859" s="25"/>
    </row>
    <row r="860" spans="2:10" ht="24.75" customHeight="1" x14ac:dyDescent="0.25">
      <c r="B860" s="54"/>
      <c r="C860" s="55"/>
      <c r="D860" s="661" t="str">
        <f>CENIK_št_1!B41</f>
        <v>Delovodja, Skupinovodja, Preglednik, Dispečer, Voznik, Strojnik</v>
      </c>
      <c r="E860" s="662"/>
      <c r="F860" s="23">
        <v>0.5</v>
      </c>
      <c r="G860" s="24">
        <f>G850</f>
        <v>21.02</v>
      </c>
      <c r="H860" s="23"/>
      <c r="I860" s="23"/>
      <c r="J860" s="25">
        <f>F860*G860+0.155</f>
        <v>10.664999999999999</v>
      </c>
    </row>
    <row r="861" spans="2:10" x14ac:dyDescent="0.25">
      <c r="B861" s="54"/>
      <c r="C861" s="55"/>
      <c r="D861" s="661" t="str">
        <f>D851</f>
        <v xml:space="preserve">Komunalni delavec </v>
      </c>
      <c r="E861" s="662"/>
      <c r="F861" s="23">
        <v>1</v>
      </c>
      <c r="G861" s="24">
        <f>CENIK_št_1!K40</f>
        <v>20.75</v>
      </c>
      <c r="H861" s="23"/>
      <c r="I861" s="23"/>
      <c r="J861" s="73">
        <f>F861*G861+0.155</f>
        <v>20.905000000000001</v>
      </c>
    </row>
    <row r="862" spans="2:10" ht="15" customHeight="1" x14ac:dyDescent="0.25">
      <c r="B862" s="58"/>
      <c r="C862" s="59"/>
      <c r="D862" s="688" t="s">
        <v>169</v>
      </c>
      <c r="E862" s="689"/>
      <c r="F862" s="27"/>
      <c r="G862" s="74"/>
      <c r="H862" s="27"/>
      <c r="I862" s="27"/>
      <c r="J862" s="73"/>
    </row>
    <row r="863" spans="2:10" ht="15.75" customHeight="1" thickBot="1" x14ac:dyDescent="0.3">
      <c r="B863" s="58"/>
      <c r="C863" s="59"/>
      <c r="D863" s="723" t="str">
        <f>D853</f>
        <v>Tovorno vozilo do 3,5 t sdm</v>
      </c>
      <c r="E863" s="724"/>
      <c r="F863" s="85">
        <v>0.5</v>
      </c>
      <c r="G863" s="86">
        <f>G853</f>
        <v>33.81</v>
      </c>
      <c r="H863" s="84"/>
      <c r="I863" s="84"/>
      <c r="J863" s="87">
        <f>F863*G863</f>
        <v>16.905000000000001</v>
      </c>
    </row>
    <row r="864" spans="2:10" ht="15.75" thickBot="1" x14ac:dyDescent="0.3">
      <c r="B864" s="663"/>
      <c r="C864" s="664"/>
      <c r="D864" s="665" t="s">
        <v>196</v>
      </c>
      <c r="E864" s="666"/>
      <c r="F864" s="22"/>
      <c r="G864" s="60"/>
      <c r="H864" s="22"/>
      <c r="I864" s="22">
        <v>1</v>
      </c>
      <c r="J864" s="50">
        <f>SUM(J860:J863)-0.62</f>
        <v>47.855000000000004</v>
      </c>
    </row>
    <row r="865" spans="2:10" ht="15.75" thickBot="1" x14ac:dyDescent="0.3"/>
    <row r="866" spans="2:10" ht="15.75" thickBot="1" x14ac:dyDescent="0.3">
      <c r="B866" s="577" t="s">
        <v>130</v>
      </c>
      <c r="C866" s="579"/>
      <c r="D866" s="583" t="str">
        <f>D856</f>
        <v>DELA CESTNEGA GOSPODARSTVA</v>
      </c>
      <c r="E866" s="584"/>
      <c r="F866" s="584"/>
      <c r="G866" s="584"/>
      <c r="H866" s="584"/>
      <c r="I866" s="584"/>
      <c r="J866" s="585"/>
    </row>
    <row r="867" spans="2:10" ht="23.25" customHeight="1" thickBot="1" x14ac:dyDescent="0.3">
      <c r="B867" s="649" t="s">
        <v>36</v>
      </c>
      <c r="C867" s="650"/>
      <c r="D867" s="651" t="s">
        <v>37</v>
      </c>
      <c r="E867" s="652"/>
      <c r="F867" s="48" t="s">
        <v>167</v>
      </c>
      <c r="G867" s="48" t="s">
        <v>156</v>
      </c>
      <c r="H867" s="48" t="s">
        <v>172</v>
      </c>
      <c r="I867" s="61" t="s">
        <v>183</v>
      </c>
      <c r="J867" s="49" t="s">
        <v>41</v>
      </c>
    </row>
    <row r="868" spans="2:10" ht="21" customHeight="1" x14ac:dyDescent="0.25">
      <c r="B868" s="653" t="s">
        <v>138</v>
      </c>
      <c r="C868" s="654"/>
      <c r="D868" s="655" t="str">
        <f>CENIK_št_1!B152</f>
        <v>Zamenjava droga cestno prometnega znaka</v>
      </c>
      <c r="E868" s="656"/>
      <c r="F868" s="76"/>
      <c r="G868" s="76"/>
      <c r="H868" s="76"/>
      <c r="I868" s="76"/>
      <c r="J868" s="77"/>
    </row>
    <row r="869" spans="2:10" x14ac:dyDescent="0.25">
      <c r="B869" s="657"/>
      <c r="C869" s="658"/>
      <c r="D869" s="704" t="s">
        <v>168</v>
      </c>
      <c r="E869" s="660"/>
      <c r="F869" s="23"/>
      <c r="G869" s="52"/>
      <c r="H869" s="23"/>
      <c r="I869" s="23"/>
      <c r="J869" s="25"/>
    </row>
    <row r="870" spans="2:10" ht="24" customHeight="1" x14ac:dyDescent="0.25">
      <c r="B870" s="54"/>
      <c r="C870" s="55"/>
      <c r="D870" s="661" t="str">
        <f>D860</f>
        <v>Delovodja, Skupinovodja, Preglednik, Dispečer, Voznik, Strojnik</v>
      </c>
      <c r="E870" s="662"/>
      <c r="F870" s="23">
        <v>1</v>
      </c>
      <c r="G870" s="24">
        <f>G860</f>
        <v>21.02</v>
      </c>
      <c r="H870" s="23"/>
      <c r="I870" s="23"/>
      <c r="J870" s="25">
        <f>F870*G870</f>
        <v>21.02</v>
      </c>
    </row>
    <row r="871" spans="2:10" x14ac:dyDescent="0.25">
      <c r="B871" s="54"/>
      <c r="C871" s="55"/>
      <c r="D871" s="661" t="str">
        <f>D861</f>
        <v xml:space="preserve">Komunalni delavec </v>
      </c>
      <c r="E871" s="662"/>
      <c r="F871" s="23">
        <v>2</v>
      </c>
      <c r="G871" s="24">
        <f>CENIK_št_1!K40</f>
        <v>20.75</v>
      </c>
      <c r="H871" s="23"/>
      <c r="I871" s="23"/>
      <c r="J871" s="73">
        <f>F871*G871</f>
        <v>41.5</v>
      </c>
    </row>
    <row r="872" spans="2:10" ht="15" customHeight="1" x14ac:dyDescent="0.25">
      <c r="B872" s="58"/>
      <c r="C872" s="59"/>
      <c r="D872" s="688" t="s">
        <v>169</v>
      </c>
      <c r="E872" s="689"/>
      <c r="F872" s="27"/>
      <c r="G872" s="74"/>
      <c r="H872" s="27"/>
      <c r="I872" s="27"/>
      <c r="J872" s="73"/>
    </row>
    <row r="873" spans="2:10" ht="15.75" thickBot="1" x14ac:dyDescent="0.3">
      <c r="B873" s="58"/>
      <c r="C873" s="59"/>
      <c r="D873" s="723" t="str">
        <f>D863</f>
        <v>Tovorno vozilo do 3,5 t sdm</v>
      </c>
      <c r="E873" s="724"/>
      <c r="F873" s="85">
        <v>1</v>
      </c>
      <c r="G873" s="86">
        <f>G863</f>
        <v>33.81</v>
      </c>
      <c r="H873" s="84"/>
      <c r="I873" s="84"/>
      <c r="J873" s="87">
        <f>F873*G873</f>
        <v>33.81</v>
      </c>
    </row>
    <row r="874" spans="2:10" ht="15.75" thickBot="1" x14ac:dyDescent="0.3">
      <c r="B874" s="663"/>
      <c r="C874" s="664"/>
      <c r="D874" s="665" t="s">
        <v>196</v>
      </c>
      <c r="E874" s="666"/>
      <c r="F874" s="22"/>
      <c r="G874" s="60"/>
      <c r="H874" s="22"/>
      <c r="I874" s="22">
        <v>1</v>
      </c>
      <c r="J874" s="50">
        <f>SUM(J870:J873)-0.62</f>
        <v>95.71</v>
      </c>
    </row>
    <row r="875" spans="2:10" ht="15.75" thickBot="1" x14ac:dyDescent="0.3">
      <c r="B875" s="183"/>
      <c r="C875" s="183"/>
      <c r="D875" s="184"/>
      <c r="E875" s="184"/>
      <c r="F875" s="185"/>
      <c r="G875" s="186"/>
      <c r="H875" s="185"/>
      <c r="I875" s="185"/>
      <c r="J875" s="187"/>
    </row>
    <row r="876" spans="2:10" ht="15.75" thickBot="1" x14ac:dyDescent="0.3">
      <c r="B876" s="577" t="s">
        <v>130</v>
      </c>
      <c r="C876" s="579"/>
      <c r="D876" s="646" t="str">
        <f>D866</f>
        <v>DELA CESTNEGA GOSPODARSTVA</v>
      </c>
      <c r="E876" s="647"/>
      <c r="F876" s="647"/>
      <c r="G876" s="647"/>
      <c r="H876" s="647"/>
      <c r="I876" s="648"/>
      <c r="J876" s="341"/>
    </row>
    <row r="877" spans="2:10" ht="23.25" customHeight="1" thickBot="1" x14ac:dyDescent="0.3">
      <c r="B877" s="649" t="s">
        <v>36</v>
      </c>
      <c r="C877" s="650"/>
      <c r="D877" s="651" t="s">
        <v>37</v>
      </c>
      <c r="E877" s="652"/>
      <c r="F877" s="48" t="s">
        <v>347</v>
      </c>
      <c r="G877" s="48" t="s">
        <v>172</v>
      </c>
      <c r="H877" s="61" t="s">
        <v>183</v>
      </c>
      <c r="I877" s="49" t="s">
        <v>41</v>
      </c>
    </row>
    <row r="878" spans="2:10" x14ac:dyDescent="0.25">
      <c r="B878" s="653" t="s">
        <v>139</v>
      </c>
      <c r="C878" s="654"/>
      <c r="D878" s="655" t="str">
        <f>CENIK_št_1!B153</f>
        <v>Najemnina za cestno prometne znake</v>
      </c>
      <c r="E878" s="656"/>
      <c r="F878" s="76"/>
      <c r="G878" s="76"/>
      <c r="H878" s="76"/>
      <c r="I878" s="77"/>
    </row>
    <row r="879" spans="2:10" x14ac:dyDescent="0.25">
      <c r="B879" s="657"/>
      <c r="C879" s="658"/>
      <c r="D879" s="659" t="s">
        <v>348</v>
      </c>
      <c r="E879" s="660"/>
      <c r="F879" s="52"/>
      <c r="G879" s="23"/>
      <c r="H879" s="23"/>
      <c r="I879" s="25"/>
    </row>
    <row r="880" spans="2:10" ht="15" customHeight="1" x14ac:dyDescent="0.25">
      <c r="B880" s="54"/>
      <c r="C880" s="55"/>
      <c r="D880" s="661" t="s">
        <v>349</v>
      </c>
      <c r="E880" s="662"/>
      <c r="F880" s="24"/>
      <c r="G880" s="23">
        <v>110</v>
      </c>
      <c r="H880" s="23">
        <v>1</v>
      </c>
      <c r="I880" s="25">
        <v>110</v>
      </c>
    </row>
    <row r="881" spans="2:11" ht="15.75" customHeight="1" thickBot="1" x14ac:dyDescent="0.3">
      <c r="B881" s="54"/>
      <c r="C881" s="55"/>
      <c r="D881" s="661" t="s">
        <v>350</v>
      </c>
      <c r="E881" s="662"/>
      <c r="F881" s="23">
        <v>48</v>
      </c>
      <c r="G881" s="23"/>
      <c r="H881" s="23"/>
      <c r="I881" s="73"/>
    </row>
    <row r="882" spans="2:11" ht="15.75" thickBot="1" x14ac:dyDescent="0.3">
      <c r="B882" s="663"/>
      <c r="C882" s="664"/>
      <c r="D882" s="665" t="s">
        <v>196</v>
      </c>
      <c r="E882" s="666"/>
      <c r="F882" s="60"/>
      <c r="G882" s="22"/>
      <c r="H882" s="22">
        <v>1</v>
      </c>
      <c r="I882" s="50">
        <f>I880/F881</f>
        <v>2.2916666666666665</v>
      </c>
    </row>
    <row r="884" spans="2:11" ht="15.75" thickBot="1" x14ac:dyDescent="0.3">
      <c r="B884" s="183"/>
      <c r="C884" s="183"/>
      <c r="D884" s="184"/>
      <c r="E884" s="184"/>
      <c r="F884" s="185"/>
      <c r="G884" s="186"/>
      <c r="H884" s="185"/>
      <c r="I884" s="185"/>
      <c r="J884" s="187"/>
    </row>
    <row r="885" spans="2:11" ht="15.75" thickBot="1" x14ac:dyDescent="0.3">
      <c r="B885" s="577" t="s">
        <v>130</v>
      </c>
      <c r="C885" s="579"/>
      <c r="D885" s="646" t="str">
        <f>D876</f>
        <v>DELA CESTNEGA GOSPODARSTVA</v>
      </c>
      <c r="E885" s="647"/>
      <c r="F885" s="647"/>
      <c r="G885" s="647"/>
      <c r="H885" s="647"/>
      <c r="I885" s="648"/>
      <c r="J885" s="341"/>
    </row>
    <row r="886" spans="2:11" ht="23.25" customHeight="1" thickBot="1" x14ac:dyDescent="0.3">
      <c r="B886" s="649" t="s">
        <v>36</v>
      </c>
      <c r="C886" s="650"/>
      <c r="D886" s="651" t="s">
        <v>37</v>
      </c>
      <c r="E886" s="652"/>
      <c r="F886" s="48" t="s">
        <v>347</v>
      </c>
      <c r="G886" s="48" t="s">
        <v>172</v>
      </c>
      <c r="H886" s="61" t="s">
        <v>183</v>
      </c>
      <c r="I886" s="49" t="s">
        <v>41</v>
      </c>
    </row>
    <row r="887" spans="2:11" x14ac:dyDescent="0.25">
      <c r="B887" s="653" t="s">
        <v>465</v>
      </c>
      <c r="C887" s="654"/>
      <c r="D887" s="655" t="str">
        <f>CENIK_št_1!B154</f>
        <v>Najemnina za gradbiščni semafor</v>
      </c>
      <c r="E887" s="656"/>
      <c r="F887" s="76"/>
      <c r="G887" s="76"/>
      <c r="H887" s="76"/>
      <c r="I887" s="77"/>
    </row>
    <row r="888" spans="2:11" x14ac:dyDescent="0.25">
      <c r="B888" s="657"/>
      <c r="C888" s="658"/>
      <c r="D888" s="659" t="s">
        <v>348</v>
      </c>
      <c r="E888" s="660"/>
      <c r="F888" s="52"/>
      <c r="G888" s="23"/>
      <c r="H888" s="23"/>
      <c r="I888" s="25"/>
    </row>
    <row r="889" spans="2:11" ht="15" customHeight="1" x14ac:dyDescent="0.25">
      <c r="B889" s="54"/>
      <c r="C889" s="55"/>
      <c r="D889" s="661" t="s">
        <v>349</v>
      </c>
      <c r="E889" s="662"/>
      <c r="F889" s="24"/>
      <c r="G889" s="23">
        <v>1584</v>
      </c>
      <c r="H889" s="23">
        <v>1</v>
      </c>
      <c r="I889" s="25">
        <v>1584</v>
      </c>
    </row>
    <row r="890" spans="2:11" ht="15.75" customHeight="1" thickBot="1" x14ac:dyDescent="0.3">
      <c r="B890" s="54"/>
      <c r="C890" s="55"/>
      <c r="D890" s="661" t="s">
        <v>350</v>
      </c>
      <c r="E890" s="662"/>
      <c r="F890" s="23">
        <v>60</v>
      </c>
      <c r="G890" s="23"/>
      <c r="H890" s="23"/>
      <c r="I890" s="73"/>
    </row>
    <row r="891" spans="2:11" ht="15.75" thickBot="1" x14ac:dyDescent="0.3">
      <c r="B891" s="663"/>
      <c r="C891" s="664"/>
      <c r="D891" s="665" t="s">
        <v>196</v>
      </c>
      <c r="E891" s="666"/>
      <c r="F891" s="60"/>
      <c r="G891" s="22"/>
      <c r="H891" s="22">
        <v>1</v>
      </c>
      <c r="I891" s="50">
        <f>I889/F890</f>
        <v>26.4</v>
      </c>
    </row>
    <row r="893" spans="2:11" ht="15.75" thickBot="1" x14ac:dyDescent="0.3">
      <c r="B893" s="138"/>
      <c r="C893" s="138"/>
      <c r="D893" s="138"/>
      <c r="E893" s="138"/>
      <c r="F893" s="138"/>
      <c r="G893" s="138"/>
      <c r="H893" s="138"/>
      <c r="I893" s="138"/>
      <c r="J893" s="138"/>
    </row>
    <row r="894" spans="2:11" ht="15.75" thickTop="1" x14ac:dyDescent="0.25"/>
    <row r="895" spans="2:11" ht="15.75" thickBot="1" x14ac:dyDescent="0.3"/>
    <row r="896" spans="2:11" ht="15.75" thickBot="1" x14ac:dyDescent="0.3">
      <c r="B896" s="577" t="s">
        <v>140</v>
      </c>
      <c r="C896" s="578"/>
      <c r="D896" s="583" t="str">
        <f>CENIK_št_1!B156</f>
        <v>ZIMSKA SLUŽBA</v>
      </c>
      <c r="E896" s="584"/>
      <c r="F896" s="584"/>
      <c r="G896" s="584"/>
      <c r="H896" s="584"/>
      <c r="I896" s="584"/>
      <c r="J896" s="584"/>
      <c r="K896" s="585"/>
    </row>
    <row r="897" spans="2:11" ht="23.25" customHeight="1" thickBot="1" x14ac:dyDescent="0.3">
      <c r="B897" s="649" t="s">
        <v>36</v>
      </c>
      <c r="C897" s="650"/>
      <c r="D897" s="725" t="s">
        <v>37</v>
      </c>
      <c r="E897" s="726"/>
      <c r="F897" s="46" t="s">
        <v>351</v>
      </c>
      <c r="G897" s="46" t="s">
        <v>352</v>
      </c>
      <c r="H897" s="46" t="s">
        <v>231</v>
      </c>
      <c r="I897" s="46" t="s">
        <v>232</v>
      </c>
      <c r="J897" s="46" t="s">
        <v>228</v>
      </c>
      <c r="K897" s="47" t="s">
        <v>41</v>
      </c>
    </row>
    <row r="898" spans="2:11" ht="27" customHeight="1" x14ac:dyDescent="0.25">
      <c r="B898" s="653" t="s">
        <v>353</v>
      </c>
      <c r="C898" s="654"/>
      <c r="D898" s="655" t="e">
        <f>CENIK_št_1!#REF!</f>
        <v>#REF!</v>
      </c>
      <c r="E898" s="656"/>
      <c r="F898" s="76"/>
      <c r="G898" s="76"/>
      <c r="H898" s="76"/>
      <c r="I898" s="76"/>
      <c r="J898" s="76"/>
      <c r="K898" s="77"/>
    </row>
    <row r="899" spans="2:11" x14ac:dyDescent="0.25">
      <c r="B899" s="657"/>
      <c r="C899" s="658"/>
      <c r="D899" s="704" t="s">
        <v>354</v>
      </c>
      <c r="E899" s="660"/>
      <c r="F899" s="23"/>
      <c r="G899" s="52"/>
      <c r="H899" s="24"/>
      <c r="I899" s="24"/>
      <c r="J899" s="23"/>
      <c r="K899" s="25"/>
    </row>
    <row r="900" spans="2:11" x14ac:dyDescent="0.25">
      <c r="B900" s="54"/>
      <c r="C900" s="55"/>
      <c r="D900" s="661" t="s">
        <v>355</v>
      </c>
      <c r="E900" s="662"/>
      <c r="F900" s="23">
        <v>1</v>
      </c>
      <c r="G900" s="24">
        <v>85</v>
      </c>
      <c r="H900" s="24"/>
      <c r="I900" s="24"/>
      <c r="J900" s="23">
        <v>40</v>
      </c>
      <c r="K900" s="25">
        <f>G900*(J900/100)</f>
        <v>34</v>
      </c>
    </row>
    <row r="901" spans="2:11" x14ac:dyDescent="0.25">
      <c r="B901" s="54"/>
      <c r="C901" s="55"/>
      <c r="D901" s="661" t="s">
        <v>356</v>
      </c>
      <c r="E901" s="662"/>
      <c r="F901" s="23">
        <v>1</v>
      </c>
      <c r="G901" s="24">
        <v>108</v>
      </c>
      <c r="H901" s="24"/>
      <c r="I901" s="24"/>
      <c r="J901" s="23">
        <v>35</v>
      </c>
      <c r="K901" s="25">
        <f>G901*(J901/100)</f>
        <v>37.799999999999997</v>
      </c>
    </row>
    <row r="902" spans="2:11" ht="15.75" thickBot="1" x14ac:dyDescent="0.3">
      <c r="B902" s="54"/>
      <c r="C902" s="55"/>
      <c r="D902" s="772" t="s">
        <v>357</v>
      </c>
      <c r="E902" s="773"/>
      <c r="F902" s="177">
        <v>1</v>
      </c>
      <c r="G902" s="178">
        <v>87</v>
      </c>
      <c r="H902" s="178"/>
      <c r="I902" s="178"/>
      <c r="J902" s="177">
        <v>25</v>
      </c>
      <c r="K902" s="26">
        <f>G902*(J902/100)</f>
        <v>21.75</v>
      </c>
    </row>
    <row r="903" spans="2:11" ht="15.75" customHeight="1" thickTop="1" x14ac:dyDescent="0.25">
      <c r="B903" s="54"/>
      <c r="C903" s="55"/>
      <c r="D903" s="766" t="s">
        <v>358</v>
      </c>
      <c r="E903" s="767"/>
      <c r="F903" s="23"/>
      <c r="G903" s="24"/>
      <c r="H903" s="24"/>
      <c r="I903" s="24"/>
      <c r="J903" s="23"/>
      <c r="K903" s="179">
        <f>SUM(K900:K902)</f>
        <v>93.55</v>
      </c>
    </row>
    <row r="904" spans="2:11" ht="15" customHeight="1" x14ac:dyDescent="0.25">
      <c r="B904" s="58"/>
      <c r="C904" s="59"/>
      <c r="D904" s="735" t="s">
        <v>229</v>
      </c>
      <c r="E904" s="689"/>
      <c r="F904" s="27"/>
      <c r="G904" s="74"/>
      <c r="H904" s="74"/>
      <c r="I904" s="74"/>
      <c r="J904" s="27"/>
      <c r="K904" s="73"/>
    </row>
    <row r="905" spans="2:11" ht="15" customHeight="1" x14ac:dyDescent="0.25">
      <c r="B905" s="58"/>
      <c r="C905" s="59"/>
      <c r="D905" s="688" t="s">
        <v>230</v>
      </c>
      <c r="E905" s="736"/>
      <c r="F905" s="27">
        <v>1</v>
      </c>
      <c r="G905" s="74"/>
      <c r="H905" s="181">
        <v>0.65</v>
      </c>
      <c r="I905" s="181">
        <f>CENIK_št_1!K86</f>
        <v>45.26</v>
      </c>
      <c r="J905" s="27"/>
      <c r="K905" s="182">
        <f>F905*H905*I905</f>
        <v>29.419</v>
      </c>
    </row>
    <row r="906" spans="2:11" ht="15" customHeight="1" x14ac:dyDescent="0.25">
      <c r="B906" s="58"/>
      <c r="C906" s="59"/>
      <c r="D906" s="735" t="s">
        <v>234</v>
      </c>
      <c r="E906" s="736"/>
      <c r="F906" s="27"/>
      <c r="G906" s="74"/>
      <c r="H906" s="181"/>
      <c r="I906" s="181"/>
      <c r="J906" s="27"/>
      <c r="K906" s="73"/>
    </row>
    <row r="907" spans="2:11" ht="15" customHeight="1" x14ac:dyDescent="0.25">
      <c r="B907" s="58"/>
      <c r="C907" s="59"/>
      <c r="D907" s="688" t="s">
        <v>247</v>
      </c>
      <c r="E907" s="689"/>
      <c r="F907" s="27"/>
      <c r="G907" s="74"/>
      <c r="H907" s="181"/>
      <c r="I907" s="181"/>
      <c r="J907" s="27">
        <v>20</v>
      </c>
      <c r="K907" s="182">
        <f>K903*0.2</f>
        <v>18.71</v>
      </c>
    </row>
    <row r="908" spans="2:11" ht="15" customHeight="1" x14ac:dyDescent="0.25">
      <c r="B908" s="58"/>
      <c r="C908" s="59"/>
      <c r="D908" s="735" t="s">
        <v>235</v>
      </c>
      <c r="E908" s="736"/>
      <c r="F908" s="27"/>
      <c r="G908" s="74"/>
      <c r="H908" s="181"/>
      <c r="I908" s="181"/>
      <c r="J908" s="27"/>
      <c r="K908" s="182"/>
    </row>
    <row r="909" spans="2:11" ht="15" customHeight="1" x14ac:dyDescent="0.25">
      <c r="B909" s="58"/>
      <c r="C909" s="59"/>
      <c r="D909" s="688" t="s">
        <v>236</v>
      </c>
      <c r="E909" s="689"/>
      <c r="F909" s="27">
        <v>700</v>
      </c>
      <c r="G909" s="74"/>
      <c r="H909" s="181">
        <v>16</v>
      </c>
      <c r="I909" s="181">
        <f>CENIK_št_1!K42</f>
        <v>29.57</v>
      </c>
      <c r="J909" s="27"/>
      <c r="K909" s="182">
        <f>H909*I909/F909+(0.01)</f>
        <v>0.68588571428571432</v>
      </c>
    </row>
    <row r="910" spans="2:11" ht="15" customHeight="1" x14ac:dyDescent="0.25">
      <c r="B910" s="58"/>
      <c r="C910" s="59"/>
      <c r="D910" s="688" t="s">
        <v>237</v>
      </c>
      <c r="E910" s="689"/>
      <c r="F910" s="27">
        <v>1</v>
      </c>
      <c r="G910" s="74"/>
      <c r="H910" s="181">
        <v>0.11</v>
      </c>
      <c r="I910" s="181">
        <f>CENIK_št_1!K41</f>
        <v>21.02</v>
      </c>
      <c r="J910" s="27"/>
      <c r="K910" s="182">
        <f>H910*I910/F910</f>
        <v>2.3121999999999998</v>
      </c>
    </row>
    <row r="911" spans="2:11" ht="15" customHeight="1" x14ac:dyDescent="0.25">
      <c r="B911" s="58"/>
      <c r="C911" s="59"/>
      <c r="D911" s="688" t="s">
        <v>238</v>
      </c>
      <c r="E911" s="689"/>
      <c r="F911" s="27">
        <v>1</v>
      </c>
      <c r="G911" s="74"/>
      <c r="H911" s="181">
        <v>0.11</v>
      </c>
      <c r="I911" s="181">
        <f>I910</f>
        <v>21.02</v>
      </c>
      <c r="J911" s="27"/>
      <c r="K911" s="182">
        <f>H911*I911/F911</f>
        <v>2.3121999999999998</v>
      </c>
    </row>
    <row r="912" spans="2:11" ht="15" customHeight="1" x14ac:dyDescent="0.25">
      <c r="B912" s="58"/>
      <c r="C912" s="59"/>
      <c r="D912" s="322"/>
      <c r="E912" s="325"/>
      <c r="F912" s="27"/>
      <c r="G912" s="74"/>
      <c r="H912" s="181"/>
      <c r="I912" s="181"/>
      <c r="J912" s="27"/>
      <c r="K912" s="182"/>
    </row>
    <row r="913" spans="2:11" ht="15.75" thickBot="1" x14ac:dyDescent="0.3">
      <c r="B913" s="58"/>
      <c r="C913" s="59"/>
      <c r="D913" s="723"/>
      <c r="E913" s="724"/>
      <c r="F913" s="85"/>
      <c r="G913" s="86"/>
      <c r="H913" s="86"/>
      <c r="I913" s="86"/>
      <c r="J913" s="84"/>
      <c r="K913" s="87"/>
    </row>
    <row r="914" spans="2:11" ht="15.75" thickBot="1" x14ac:dyDescent="0.3">
      <c r="B914" s="663"/>
      <c r="C914" s="664"/>
      <c r="D914" s="665" t="s">
        <v>227</v>
      </c>
      <c r="E914" s="666"/>
      <c r="F914" s="22"/>
      <c r="G914" s="60"/>
      <c r="H914" s="180"/>
      <c r="I914" s="180"/>
      <c r="J914" s="22"/>
      <c r="K914" s="50">
        <f>K903+K905+K907+K909+K910+K911</f>
        <v>146.9892857142857</v>
      </c>
    </row>
    <row r="916" spans="2:11" ht="15.75" thickBot="1" x14ac:dyDescent="0.3"/>
    <row r="917" spans="2:11" ht="15.75" thickBot="1" x14ac:dyDescent="0.3">
      <c r="B917" s="577" t="s">
        <v>140</v>
      </c>
      <c r="C917" s="578"/>
      <c r="D917" s="583" t="str">
        <f>D896</f>
        <v>ZIMSKA SLUŽBA</v>
      </c>
      <c r="E917" s="584"/>
      <c r="F917" s="584"/>
      <c r="G917" s="584"/>
      <c r="H917" s="584"/>
      <c r="I917" s="584"/>
      <c r="J917" s="584"/>
      <c r="K917" s="585"/>
    </row>
    <row r="918" spans="2:11" ht="23.25" customHeight="1" thickBot="1" x14ac:dyDescent="0.3">
      <c r="B918" s="649" t="s">
        <v>36</v>
      </c>
      <c r="C918" s="650"/>
      <c r="D918" s="725" t="s">
        <v>37</v>
      </c>
      <c r="E918" s="726"/>
      <c r="F918" s="46" t="s">
        <v>239</v>
      </c>
      <c r="G918" s="46" t="s">
        <v>248</v>
      </c>
      <c r="H918" s="46" t="s">
        <v>231</v>
      </c>
      <c r="I918" s="46" t="s">
        <v>232</v>
      </c>
      <c r="J918" s="46" t="s">
        <v>228</v>
      </c>
      <c r="K918" s="47" t="s">
        <v>41</v>
      </c>
    </row>
    <row r="919" spans="2:11" ht="20.25" customHeight="1" x14ac:dyDescent="0.25">
      <c r="B919" s="653" t="s">
        <v>240</v>
      </c>
      <c r="C919" s="654"/>
      <c r="D919" s="655" t="e">
        <f>CENIK_št_1!#REF!</f>
        <v>#REF!</v>
      </c>
      <c r="E919" s="656"/>
      <c r="F919" s="76"/>
      <c r="G919" s="76"/>
      <c r="H919" s="76"/>
      <c r="I919" s="76"/>
      <c r="J919" s="76"/>
      <c r="K919" s="77"/>
    </row>
    <row r="920" spans="2:11" ht="15" customHeight="1" x14ac:dyDescent="0.25">
      <c r="B920" s="657"/>
      <c r="C920" s="658"/>
      <c r="D920" s="704" t="s">
        <v>241</v>
      </c>
      <c r="E920" s="660"/>
      <c r="F920" s="23"/>
      <c r="G920" s="52"/>
      <c r="H920" s="24"/>
      <c r="I920" s="24"/>
      <c r="J920" s="23"/>
      <c r="K920" s="25"/>
    </row>
    <row r="921" spans="2:11" ht="24.75" customHeight="1" thickBot="1" x14ac:dyDescent="0.3">
      <c r="B921" s="54"/>
      <c r="C921" s="55"/>
      <c r="D921" s="661" t="s">
        <v>249</v>
      </c>
      <c r="E921" s="662"/>
      <c r="F921" s="177">
        <v>1</v>
      </c>
      <c r="G921" s="178">
        <v>29.5</v>
      </c>
      <c r="H921" s="178"/>
      <c r="I921" s="178"/>
      <c r="J921" s="177">
        <v>100</v>
      </c>
      <c r="K921" s="26">
        <f>G921*(J921/100)</f>
        <v>29.5</v>
      </c>
    </row>
    <row r="922" spans="2:11" ht="15.75" customHeight="1" thickTop="1" x14ac:dyDescent="0.25">
      <c r="B922" s="54"/>
      <c r="C922" s="55"/>
      <c r="D922" s="766" t="s">
        <v>242</v>
      </c>
      <c r="E922" s="767"/>
      <c r="F922" s="23"/>
      <c r="G922" s="24"/>
      <c r="H922" s="24"/>
      <c r="I922" s="24"/>
      <c r="J922" s="23"/>
      <c r="K922" s="179">
        <f>SUM(K921:K921)</f>
        <v>29.5</v>
      </c>
    </row>
    <row r="923" spans="2:11" ht="15.75" customHeight="1" x14ac:dyDescent="0.25">
      <c r="B923" s="58"/>
      <c r="C923" s="59"/>
      <c r="D923" s="735" t="s">
        <v>229</v>
      </c>
      <c r="E923" s="689"/>
      <c r="F923" s="27"/>
      <c r="G923" s="74"/>
      <c r="H923" s="74"/>
      <c r="I923" s="74"/>
      <c r="J923" s="27"/>
      <c r="K923" s="73"/>
    </row>
    <row r="924" spans="2:11" ht="15" customHeight="1" x14ac:dyDescent="0.25">
      <c r="B924" s="58"/>
      <c r="C924" s="59"/>
      <c r="D924" s="688" t="s">
        <v>230</v>
      </c>
      <c r="E924" s="736"/>
      <c r="F924" s="27">
        <v>1</v>
      </c>
      <c r="G924" s="74"/>
      <c r="H924" s="181">
        <v>0.19</v>
      </c>
      <c r="I924" s="181">
        <v>33</v>
      </c>
      <c r="J924" s="27"/>
      <c r="K924" s="182">
        <f>F924*H924*I924-0.01</f>
        <v>6.2600000000000007</v>
      </c>
    </row>
    <row r="925" spans="2:11" ht="15" customHeight="1" x14ac:dyDescent="0.25">
      <c r="B925" s="58"/>
      <c r="C925" s="59"/>
      <c r="D925" s="735" t="s">
        <v>234</v>
      </c>
      <c r="E925" s="736"/>
      <c r="F925" s="27"/>
      <c r="G925" s="74"/>
      <c r="H925" s="181"/>
      <c r="I925" s="181"/>
      <c r="J925" s="27"/>
      <c r="K925" s="73"/>
    </row>
    <row r="926" spans="2:11" ht="15" customHeight="1" x14ac:dyDescent="0.25">
      <c r="B926" s="58"/>
      <c r="C926" s="59"/>
      <c r="D926" s="688" t="s">
        <v>233</v>
      </c>
      <c r="E926" s="689"/>
      <c r="F926" s="27"/>
      <c r="G926" s="74"/>
      <c r="H926" s="181"/>
      <c r="I926" s="181"/>
      <c r="J926" s="27">
        <v>2.5</v>
      </c>
      <c r="K926" s="182">
        <f>K922*0.025</f>
        <v>0.73750000000000004</v>
      </c>
    </row>
    <row r="927" spans="2:11" ht="15" customHeight="1" x14ac:dyDescent="0.25">
      <c r="B927" s="58"/>
      <c r="C927" s="59"/>
      <c r="D927" s="735" t="s">
        <v>235</v>
      </c>
      <c r="E927" s="736"/>
      <c r="F927" s="27"/>
      <c r="G927" s="74"/>
      <c r="H927" s="181"/>
      <c r="I927" s="181"/>
      <c r="J927" s="27"/>
      <c r="K927" s="182"/>
    </row>
    <row r="928" spans="2:11" ht="15" customHeight="1" x14ac:dyDescent="0.25">
      <c r="B928" s="58"/>
      <c r="C928" s="59"/>
      <c r="D928" s="688" t="s">
        <v>236</v>
      </c>
      <c r="E928" s="689"/>
      <c r="F928" s="27">
        <v>250</v>
      </c>
      <c r="G928" s="74"/>
      <c r="H928" s="181">
        <v>9</v>
      </c>
      <c r="I928" s="181">
        <f>CENIK_št_1!K42</f>
        <v>29.57</v>
      </c>
      <c r="J928" s="27"/>
      <c r="K928" s="182">
        <f>H928*I928/F928</f>
        <v>1.0645199999999999</v>
      </c>
    </row>
    <row r="929" spans="2:11" ht="15" customHeight="1" x14ac:dyDescent="0.25">
      <c r="B929" s="58"/>
      <c r="C929" s="59"/>
      <c r="D929" s="688" t="s">
        <v>237</v>
      </c>
      <c r="E929" s="689"/>
      <c r="F929" s="27">
        <v>1</v>
      </c>
      <c r="G929" s="74"/>
      <c r="H929" s="181">
        <v>0.04</v>
      </c>
      <c r="I929" s="181">
        <f>CENIK_št_1!K41</f>
        <v>21.02</v>
      </c>
      <c r="J929" s="27"/>
      <c r="K929" s="182">
        <f>H929*I929/F929-0.06</f>
        <v>0.78079999999999994</v>
      </c>
    </row>
    <row r="930" spans="2:11" ht="15" customHeight="1" x14ac:dyDescent="0.25">
      <c r="B930" s="58"/>
      <c r="C930" s="59"/>
      <c r="D930" s="688" t="s">
        <v>238</v>
      </c>
      <c r="E930" s="689"/>
      <c r="F930" s="27">
        <v>1</v>
      </c>
      <c r="G930" s="74"/>
      <c r="H930" s="181">
        <v>0.04</v>
      </c>
      <c r="I930" s="181">
        <f>I929</f>
        <v>21.02</v>
      </c>
      <c r="J930" s="27"/>
      <c r="K930" s="182">
        <f>H930*I930/F930-0.06</f>
        <v>0.78079999999999994</v>
      </c>
    </row>
    <row r="931" spans="2:11" ht="15" customHeight="1" x14ac:dyDescent="0.25">
      <c r="B931" s="58"/>
      <c r="C931" s="59"/>
      <c r="D931" s="322"/>
      <c r="E931" s="325"/>
      <c r="F931" s="27"/>
      <c r="G931" s="74"/>
      <c r="H931" s="181"/>
      <c r="I931" s="181"/>
      <c r="J931" s="27"/>
      <c r="K931" s="182"/>
    </row>
    <row r="932" spans="2:11" ht="15.75" thickBot="1" x14ac:dyDescent="0.3">
      <c r="B932" s="58"/>
      <c r="C932" s="59"/>
      <c r="D932" s="723"/>
      <c r="E932" s="724"/>
      <c r="F932" s="85"/>
      <c r="G932" s="86"/>
      <c r="H932" s="86"/>
      <c r="I932" s="86"/>
      <c r="J932" s="84"/>
      <c r="K932" s="87"/>
    </row>
    <row r="933" spans="2:11" ht="15.75" thickBot="1" x14ac:dyDescent="0.3">
      <c r="B933" s="663"/>
      <c r="C933" s="664"/>
      <c r="D933" s="665" t="s">
        <v>186</v>
      </c>
      <c r="E933" s="666"/>
      <c r="F933" s="22"/>
      <c r="G933" s="60"/>
      <c r="H933" s="180"/>
      <c r="I933" s="180"/>
      <c r="J933" s="22"/>
      <c r="K933" s="50">
        <f>K922+K924+K926+K928+K929+K930-0.12</f>
        <v>39.003619999999998</v>
      </c>
    </row>
    <row r="935" spans="2:11" ht="15.75" thickBot="1" x14ac:dyDescent="0.3"/>
    <row r="936" spans="2:11" ht="15.75" thickBot="1" x14ac:dyDescent="0.3">
      <c r="B936" s="577" t="s">
        <v>140</v>
      </c>
      <c r="C936" s="578"/>
      <c r="D936" s="583" t="str">
        <f>D917</f>
        <v>ZIMSKA SLUŽBA</v>
      </c>
      <c r="E936" s="584"/>
      <c r="F936" s="584"/>
      <c r="G936" s="584"/>
      <c r="H936" s="585"/>
      <c r="I936" s="341"/>
      <c r="J936" s="341"/>
      <c r="K936" s="341"/>
    </row>
    <row r="937" spans="2:11" ht="15.75" thickBot="1" x14ac:dyDescent="0.3">
      <c r="B937" s="649" t="s">
        <v>36</v>
      </c>
      <c r="C937" s="650"/>
      <c r="D937" s="725" t="s">
        <v>37</v>
      </c>
      <c r="E937" s="726"/>
      <c r="F937" s="46" t="s">
        <v>359</v>
      </c>
      <c r="G937" s="46" t="s">
        <v>360</v>
      </c>
      <c r="H937" s="47" t="s">
        <v>41</v>
      </c>
    </row>
    <row r="938" spans="2:11" x14ac:dyDescent="0.25">
      <c r="B938" s="653" t="s">
        <v>240</v>
      </c>
      <c r="C938" s="654"/>
      <c r="D938" s="655" t="str">
        <f>CENIK_št_1!B157</f>
        <v>Priprava stroja na zimo.</v>
      </c>
      <c r="E938" s="656"/>
      <c r="F938" s="76"/>
      <c r="G938" s="76"/>
      <c r="H938" s="77"/>
    </row>
    <row r="939" spans="2:11" x14ac:dyDescent="0.25">
      <c r="B939" s="657"/>
      <c r="C939" s="658"/>
      <c r="D939" s="704" t="s">
        <v>361</v>
      </c>
      <c r="E939" s="660"/>
      <c r="F939" s="23"/>
      <c r="G939" s="24"/>
      <c r="H939" s="25"/>
    </row>
    <row r="940" spans="2:11" x14ac:dyDescent="0.25">
      <c r="B940" s="54"/>
      <c r="C940" s="55"/>
      <c r="D940" s="704" t="s">
        <v>362</v>
      </c>
      <c r="E940" s="660"/>
      <c r="F940" s="27">
        <v>1</v>
      </c>
      <c r="G940" s="52">
        <v>150</v>
      </c>
      <c r="H940" s="29">
        <f>F940*G940</f>
        <v>150</v>
      </c>
    </row>
    <row r="941" spans="2:11" x14ac:dyDescent="0.25">
      <c r="B941" s="54"/>
      <c r="C941" s="55"/>
      <c r="D941" s="704" t="s">
        <v>363</v>
      </c>
      <c r="E941" s="660"/>
      <c r="F941" s="28">
        <v>1</v>
      </c>
      <c r="G941" s="342">
        <v>150</v>
      </c>
      <c r="H941" s="29">
        <f t="shared" ref="H941:H942" si="0">F941*G941</f>
        <v>150</v>
      </c>
    </row>
    <row r="942" spans="2:11" ht="15.75" thickBot="1" x14ac:dyDescent="0.3">
      <c r="B942" s="54"/>
      <c r="C942" s="55"/>
      <c r="D942" s="661" t="s">
        <v>364</v>
      </c>
      <c r="E942" s="662"/>
      <c r="F942" s="177">
        <v>1</v>
      </c>
      <c r="G942" s="178">
        <v>250</v>
      </c>
      <c r="H942" s="26">
        <f t="shared" si="0"/>
        <v>250</v>
      </c>
    </row>
    <row r="943" spans="2:11" ht="15.75" thickTop="1" x14ac:dyDescent="0.25">
      <c r="B943" s="54"/>
      <c r="C943" s="55"/>
      <c r="D943" s="766"/>
      <c r="E943" s="767"/>
      <c r="F943" s="24"/>
      <c r="G943" s="24"/>
      <c r="H943" s="179">
        <f>SUM(H940:H942)</f>
        <v>550</v>
      </c>
    </row>
    <row r="944" spans="2:11" ht="15.75" thickBot="1" x14ac:dyDescent="0.3">
      <c r="B944" s="58"/>
      <c r="C944" s="59"/>
      <c r="D944" s="723"/>
      <c r="E944" s="724"/>
      <c r="F944" s="86"/>
      <c r="G944" s="86"/>
      <c r="H944" s="87"/>
    </row>
    <row r="945" spans="2:11" ht="15.75" thickBot="1" x14ac:dyDescent="0.3">
      <c r="B945" s="663"/>
      <c r="C945" s="664"/>
      <c r="D945" s="665" t="s">
        <v>243</v>
      </c>
      <c r="E945" s="666"/>
      <c r="F945" s="180"/>
      <c r="G945" s="180"/>
      <c r="H945" s="50">
        <f>H943</f>
        <v>550</v>
      </c>
    </row>
    <row r="947" spans="2:11" ht="15.75" thickBot="1" x14ac:dyDescent="0.3"/>
    <row r="948" spans="2:11" ht="15.75" thickBot="1" x14ac:dyDescent="0.3">
      <c r="B948" s="577" t="s">
        <v>140</v>
      </c>
      <c r="C948" s="578"/>
      <c r="D948" s="583" t="str">
        <f>D936</f>
        <v>ZIMSKA SLUŽBA</v>
      </c>
      <c r="E948" s="584"/>
      <c r="F948" s="584"/>
      <c r="G948" s="584"/>
      <c r="H948" s="585"/>
      <c r="I948" s="341"/>
      <c r="J948" s="341"/>
      <c r="K948" s="341"/>
    </row>
    <row r="949" spans="2:11" ht="15.75" thickBot="1" x14ac:dyDescent="0.3">
      <c r="B949" s="649" t="s">
        <v>36</v>
      </c>
      <c r="C949" s="650"/>
      <c r="D949" s="725" t="s">
        <v>37</v>
      </c>
      <c r="E949" s="726"/>
      <c r="F949" s="46" t="s">
        <v>244</v>
      </c>
      <c r="G949" s="46" t="s">
        <v>245</v>
      </c>
      <c r="H949" s="47" t="s">
        <v>41</v>
      </c>
    </row>
    <row r="950" spans="2:11" x14ac:dyDescent="0.25">
      <c r="B950" s="653" t="s">
        <v>353</v>
      </c>
      <c r="C950" s="654"/>
      <c r="D950" s="655" t="s">
        <v>163</v>
      </c>
      <c r="E950" s="656"/>
      <c r="F950" s="76"/>
      <c r="G950" s="76"/>
      <c r="H950" s="77"/>
    </row>
    <row r="951" spans="2:11" ht="30.75" customHeight="1" x14ac:dyDescent="0.25">
      <c r="B951" s="657"/>
      <c r="C951" s="658"/>
      <c r="D951" s="735" t="s">
        <v>365</v>
      </c>
      <c r="E951" s="689"/>
      <c r="F951" s="23"/>
      <c r="G951" s="24"/>
      <c r="H951" s="25"/>
    </row>
    <row r="952" spans="2:11" ht="15.75" thickBot="1" x14ac:dyDescent="0.3">
      <c r="B952" s="54"/>
      <c r="C952" s="55"/>
      <c r="D952" s="704" t="s">
        <v>366</v>
      </c>
      <c r="E952" s="660"/>
      <c r="F952" s="177">
        <v>200</v>
      </c>
      <c r="G952" s="178">
        <v>1.3</v>
      </c>
      <c r="H952" s="26">
        <f>F952*G952</f>
        <v>260</v>
      </c>
    </row>
    <row r="953" spans="2:11" ht="15.75" thickTop="1" x14ac:dyDescent="0.25">
      <c r="B953" s="54"/>
      <c r="C953" s="55"/>
      <c r="D953" s="766"/>
      <c r="E953" s="767"/>
      <c r="F953" s="24"/>
      <c r="G953" s="24"/>
      <c r="H953" s="179">
        <f>SUM(H952:H952)</f>
        <v>260</v>
      </c>
    </row>
    <row r="954" spans="2:11" ht="15.75" thickBot="1" x14ac:dyDescent="0.3">
      <c r="B954" s="58"/>
      <c r="C954" s="59"/>
      <c r="D954" s="723"/>
      <c r="E954" s="724"/>
      <c r="F954" s="86"/>
      <c r="G954" s="86"/>
      <c r="H954" s="87"/>
    </row>
    <row r="955" spans="2:11" ht="15.75" thickBot="1" x14ac:dyDescent="0.3">
      <c r="B955" s="663"/>
      <c r="C955" s="664"/>
      <c r="D955" s="665" t="s">
        <v>243</v>
      </c>
      <c r="E955" s="666"/>
      <c r="F955" s="180"/>
      <c r="G955" s="180"/>
      <c r="H955" s="50">
        <f>H953</f>
        <v>260</v>
      </c>
    </row>
    <row r="956" spans="2:11" x14ac:dyDescent="0.25">
      <c r="B956" s="183"/>
      <c r="C956" s="183"/>
      <c r="D956" s="184"/>
      <c r="E956" s="184"/>
      <c r="F956" s="186"/>
      <c r="G956" s="186"/>
      <c r="H956" s="187"/>
    </row>
    <row r="957" spans="2:11" ht="15.75" thickBot="1" x14ac:dyDescent="0.3">
      <c r="B957" s="57"/>
      <c r="C957" s="57"/>
      <c r="D957" s="57"/>
      <c r="E957" s="57"/>
      <c r="F957" s="57"/>
      <c r="G957" s="57"/>
      <c r="H957" s="57"/>
      <c r="I957"/>
      <c r="J957"/>
      <c r="K957"/>
    </row>
    <row r="958" spans="2:11" ht="16.5" thickTop="1" thickBot="1" x14ac:dyDescent="0.3">
      <c r="B958"/>
      <c r="C958"/>
      <c r="D958"/>
      <c r="E958"/>
      <c r="F958"/>
      <c r="G958"/>
      <c r="H958"/>
      <c r="I958"/>
      <c r="J958"/>
      <c r="K958"/>
    </row>
    <row r="959" spans="2:11" ht="15.75" thickBot="1" x14ac:dyDescent="0.3">
      <c r="B959" s="577" t="s">
        <v>151</v>
      </c>
      <c r="C959" s="578"/>
      <c r="D959" s="583" t="str">
        <f>CENIK_št_1!B160</f>
        <v>OSTALA DELA</v>
      </c>
      <c r="E959" s="584"/>
      <c r="F959" s="584"/>
      <c r="G959" s="584"/>
      <c r="H959" s="585"/>
      <c r="I959"/>
      <c r="J959"/>
      <c r="K959"/>
    </row>
    <row r="960" spans="2:11" ht="23.25" thickBot="1" x14ac:dyDescent="0.3">
      <c r="B960" s="649" t="s">
        <v>36</v>
      </c>
      <c r="C960" s="650"/>
      <c r="D960" s="725" t="s">
        <v>37</v>
      </c>
      <c r="E960" s="726"/>
      <c r="F960" s="46" t="s">
        <v>422</v>
      </c>
      <c r="G960" s="46" t="s">
        <v>421</v>
      </c>
      <c r="H960" s="47" t="s">
        <v>41</v>
      </c>
    </row>
    <row r="961" spans="2:8" ht="26.25" customHeight="1" x14ac:dyDescent="0.25">
      <c r="B961" s="653" t="s">
        <v>152</v>
      </c>
      <c r="C961" s="654"/>
      <c r="D961" s="655" t="s">
        <v>432</v>
      </c>
      <c r="E961" s="656"/>
      <c r="F961" s="76"/>
      <c r="G961" s="76"/>
      <c r="H961" s="77"/>
    </row>
    <row r="962" spans="2:8" ht="30" customHeight="1" x14ac:dyDescent="0.25">
      <c r="B962" s="705" t="s">
        <v>424</v>
      </c>
      <c r="C962" s="706"/>
      <c r="D962" s="727" t="s">
        <v>417</v>
      </c>
      <c r="E962" s="728"/>
      <c r="F962" s="23">
        <v>1</v>
      </c>
      <c r="G962" s="23">
        <v>116.42</v>
      </c>
      <c r="H962" s="23">
        <f>F962*G962</f>
        <v>116.42</v>
      </c>
    </row>
    <row r="963" spans="2:8" ht="15" customHeight="1" x14ac:dyDescent="0.25">
      <c r="B963" s="705" t="s">
        <v>425</v>
      </c>
      <c r="C963" s="706"/>
      <c r="D963" s="721" t="s">
        <v>418</v>
      </c>
      <c r="E963" s="722"/>
      <c r="F963" s="23">
        <v>1</v>
      </c>
      <c r="G963" s="23">
        <v>53.52</v>
      </c>
      <c r="H963" s="23">
        <f>F963*G963</f>
        <v>53.52</v>
      </c>
    </row>
    <row r="964" spans="2:8" ht="15" customHeight="1" x14ac:dyDescent="0.25">
      <c r="B964" s="705" t="s">
        <v>426</v>
      </c>
      <c r="C964" s="706"/>
      <c r="D964" s="721" t="s">
        <v>419</v>
      </c>
      <c r="E964" s="722"/>
      <c r="F964" s="23">
        <v>1</v>
      </c>
      <c r="G964" s="23">
        <v>5.62</v>
      </c>
      <c r="H964" s="23">
        <f t="shared" ref="H964:H967" si="1">F964*G964</f>
        <v>5.62</v>
      </c>
    </row>
    <row r="965" spans="2:8" ht="25.5" customHeight="1" x14ac:dyDescent="0.25">
      <c r="B965" s="705" t="s">
        <v>427</v>
      </c>
      <c r="C965" s="706"/>
      <c r="D965" s="721" t="s">
        <v>420</v>
      </c>
      <c r="E965" s="722"/>
      <c r="F965" s="23">
        <v>1</v>
      </c>
      <c r="G965" s="23">
        <v>2.14</v>
      </c>
      <c r="H965" s="23">
        <f t="shared" si="1"/>
        <v>2.14</v>
      </c>
    </row>
    <row r="966" spans="2:8" ht="15" customHeight="1" x14ac:dyDescent="0.25">
      <c r="B966" s="705" t="s">
        <v>428</v>
      </c>
      <c r="C966" s="706"/>
      <c r="D966" s="721" t="s">
        <v>423</v>
      </c>
      <c r="E966" s="722"/>
      <c r="F966" s="23">
        <v>1</v>
      </c>
      <c r="G966" s="23">
        <v>2.1</v>
      </c>
      <c r="H966" s="23">
        <f t="shared" si="1"/>
        <v>2.1</v>
      </c>
    </row>
    <row r="967" spans="2:8" x14ac:dyDescent="0.25">
      <c r="B967" s="705" t="s">
        <v>429</v>
      </c>
      <c r="C967" s="706"/>
      <c r="D967" s="688" t="s">
        <v>430</v>
      </c>
      <c r="E967" s="689"/>
      <c r="F967" s="23">
        <v>1</v>
      </c>
      <c r="G967" s="23">
        <v>3.44</v>
      </c>
      <c r="H967" s="23">
        <f t="shared" si="1"/>
        <v>3.44</v>
      </c>
    </row>
    <row r="968" spans="2:8" ht="15.75" thickBot="1" x14ac:dyDescent="0.3">
      <c r="B968" s="58"/>
      <c r="C968" s="59"/>
      <c r="D968" s="723"/>
      <c r="E968" s="724"/>
      <c r="F968" s="86"/>
      <c r="G968" s="86"/>
      <c r="H968" s="87"/>
    </row>
    <row r="969" spans="2:8" ht="15.75" thickBot="1" x14ac:dyDescent="0.3">
      <c r="B969" s="663"/>
      <c r="C969" s="664"/>
      <c r="D969" s="665" t="s">
        <v>243</v>
      </c>
      <c r="E969" s="666"/>
      <c r="F969" s="180"/>
      <c r="G969" s="180"/>
      <c r="H969" s="50">
        <f>SUM(H962:H968)</f>
        <v>183.23999999999998</v>
      </c>
    </row>
    <row r="970" spans="2:8" ht="15.75" thickBot="1" x14ac:dyDescent="0.3">
      <c r="H970" s="384"/>
    </row>
    <row r="971" spans="2:8" ht="15.75" thickBot="1" x14ac:dyDescent="0.3">
      <c r="B971" s="577" t="s">
        <v>151</v>
      </c>
      <c r="C971" s="578"/>
      <c r="D971" s="583" t="str">
        <f>CENIK_št_1!B160</f>
        <v>OSTALA DELA</v>
      </c>
      <c r="E971" s="584"/>
      <c r="F971" s="584"/>
      <c r="G971" s="584"/>
      <c r="H971" s="585"/>
    </row>
    <row r="972" spans="2:8" ht="23.25" thickBot="1" x14ac:dyDescent="0.3">
      <c r="B972" s="649" t="s">
        <v>36</v>
      </c>
      <c r="C972" s="650"/>
      <c r="D972" s="725" t="s">
        <v>37</v>
      </c>
      <c r="E972" s="726"/>
      <c r="F972" s="46" t="s">
        <v>422</v>
      </c>
      <c r="G972" s="46" t="s">
        <v>421</v>
      </c>
      <c r="H972" s="47" t="s">
        <v>41</v>
      </c>
    </row>
    <row r="973" spans="2:8" ht="28.5" customHeight="1" x14ac:dyDescent="0.25">
      <c r="B973" s="653" t="s">
        <v>153</v>
      </c>
      <c r="C973" s="654"/>
      <c r="D973" s="655" t="s">
        <v>431</v>
      </c>
      <c r="E973" s="656"/>
      <c r="F973" s="76"/>
      <c r="G973" s="76"/>
      <c r="H973" s="77"/>
    </row>
    <row r="974" spans="2:8" ht="26.25" customHeight="1" x14ac:dyDescent="0.25">
      <c r="B974" s="705" t="s">
        <v>424</v>
      </c>
      <c r="C974" s="706"/>
      <c r="D974" s="721" t="s">
        <v>417</v>
      </c>
      <c r="E974" s="722"/>
      <c r="F974" s="23">
        <v>1</v>
      </c>
      <c r="G974" s="23">
        <v>116.42</v>
      </c>
      <c r="H974" s="23">
        <f>F974*G974</f>
        <v>116.42</v>
      </c>
    </row>
    <row r="975" spans="2:8" x14ac:dyDescent="0.25">
      <c r="B975" s="705" t="s">
        <v>435</v>
      </c>
      <c r="C975" s="706"/>
      <c r="D975" s="721" t="s">
        <v>418</v>
      </c>
      <c r="E975" s="722"/>
      <c r="F975" s="23">
        <v>1</v>
      </c>
      <c r="G975" s="23">
        <v>22.4</v>
      </c>
      <c r="H975" s="23">
        <f>F975*G975</f>
        <v>22.4</v>
      </c>
    </row>
    <row r="976" spans="2:8" x14ac:dyDescent="0.25">
      <c r="B976" s="705" t="s">
        <v>436</v>
      </c>
      <c r="C976" s="706"/>
      <c r="D976" s="721" t="s">
        <v>419</v>
      </c>
      <c r="E976" s="722"/>
      <c r="F976" s="23">
        <v>1</v>
      </c>
      <c r="G976" s="23">
        <v>11.95</v>
      </c>
      <c r="H976" s="23">
        <f t="shared" ref="H976:H979" si="2">F976*G976</f>
        <v>11.95</v>
      </c>
    </row>
    <row r="977" spans="2:8" ht="24.75" customHeight="1" x14ac:dyDescent="0.25">
      <c r="B977" s="705" t="s">
        <v>437</v>
      </c>
      <c r="C977" s="706"/>
      <c r="D977" s="721" t="s">
        <v>420</v>
      </c>
      <c r="E977" s="722"/>
      <c r="F977" s="23">
        <v>1</v>
      </c>
      <c r="G977" s="23">
        <v>12.44</v>
      </c>
      <c r="H977" s="23">
        <f t="shared" si="2"/>
        <v>12.44</v>
      </c>
    </row>
    <row r="978" spans="2:8" x14ac:dyDescent="0.25">
      <c r="B978" s="705" t="s">
        <v>438</v>
      </c>
      <c r="C978" s="706"/>
      <c r="D978" s="721" t="s">
        <v>423</v>
      </c>
      <c r="E978" s="722"/>
      <c r="F978" s="23">
        <v>1</v>
      </c>
      <c r="G978" s="23">
        <v>5.82</v>
      </c>
      <c r="H978" s="23">
        <f t="shared" si="2"/>
        <v>5.82</v>
      </c>
    </row>
    <row r="979" spans="2:8" x14ac:dyDescent="0.25">
      <c r="B979" s="705" t="s">
        <v>439</v>
      </c>
      <c r="C979" s="706"/>
      <c r="D979" s="688" t="s">
        <v>430</v>
      </c>
      <c r="E979" s="689"/>
      <c r="F979" s="23">
        <v>1</v>
      </c>
      <c r="G979" s="23">
        <v>16.78</v>
      </c>
      <c r="H979" s="23">
        <f t="shared" si="2"/>
        <v>16.78</v>
      </c>
    </row>
    <row r="980" spans="2:8" ht="15.75" thickBot="1" x14ac:dyDescent="0.3">
      <c r="B980" s="58"/>
      <c r="C980" s="59"/>
      <c r="D980" s="723"/>
      <c r="E980" s="724"/>
      <c r="F980" s="86"/>
      <c r="G980" s="86"/>
      <c r="H980" s="87"/>
    </row>
    <row r="981" spans="2:8" ht="15.75" thickBot="1" x14ac:dyDescent="0.3">
      <c r="B981" s="663"/>
      <c r="C981" s="664"/>
      <c r="D981" s="665" t="s">
        <v>243</v>
      </c>
      <c r="E981" s="666"/>
      <c r="F981" s="180"/>
      <c r="G981" s="180"/>
      <c r="H981" s="50">
        <f>SUM(H974:H980)</f>
        <v>185.80999999999997</v>
      </c>
    </row>
    <row r="982" spans="2:8" ht="15.75" thickBot="1" x14ac:dyDescent="0.3"/>
    <row r="983" spans="2:8" ht="15.75" thickBot="1" x14ac:dyDescent="0.3">
      <c r="B983" s="577" t="s">
        <v>151</v>
      </c>
      <c r="C983" s="578"/>
      <c r="D983" s="583" t="str">
        <f>CENIK_št_1!B160</f>
        <v>OSTALA DELA</v>
      </c>
      <c r="E983" s="584"/>
      <c r="F983" s="584"/>
      <c r="G983" s="584"/>
      <c r="H983" s="585"/>
    </row>
    <row r="984" spans="2:8" ht="23.25" thickBot="1" x14ac:dyDescent="0.3">
      <c r="B984" s="649" t="s">
        <v>36</v>
      </c>
      <c r="C984" s="650"/>
      <c r="D984" s="725" t="s">
        <v>37</v>
      </c>
      <c r="E984" s="726"/>
      <c r="F984" s="46" t="s">
        <v>422</v>
      </c>
      <c r="G984" s="46" t="s">
        <v>421</v>
      </c>
      <c r="H984" s="47" t="s">
        <v>41</v>
      </c>
    </row>
    <row r="985" spans="2:8" ht="31.5" customHeight="1" x14ac:dyDescent="0.25">
      <c r="B985" s="653" t="s">
        <v>154</v>
      </c>
      <c r="C985" s="654"/>
      <c r="D985" s="655" t="s">
        <v>433</v>
      </c>
      <c r="E985" s="656"/>
      <c r="F985" s="76"/>
      <c r="G985" s="76"/>
      <c r="H985" s="77"/>
    </row>
    <row r="986" spans="2:8" x14ac:dyDescent="0.25">
      <c r="B986" s="705" t="s">
        <v>440</v>
      </c>
      <c r="C986" s="706"/>
      <c r="D986" s="727" t="s">
        <v>417</v>
      </c>
      <c r="E986" s="728"/>
      <c r="F986" s="23">
        <v>1</v>
      </c>
      <c r="G986" s="23">
        <v>116.42</v>
      </c>
      <c r="H986" s="23">
        <f>F986*G986</f>
        <v>116.42</v>
      </c>
    </row>
    <row r="987" spans="2:8" x14ac:dyDescent="0.25">
      <c r="B987" s="705" t="s">
        <v>441</v>
      </c>
      <c r="C987" s="706"/>
      <c r="D987" s="721" t="s">
        <v>418</v>
      </c>
      <c r="E987" s="722"/>
      <c r="F987" s="23">
        <v>1</v>
      </c>
      <c r="G987" s="23">
        <v>72.92</v>
      </c>
      <c r="H987" s="23">
        <f>F987*G987</f>
        <v>72.92</v>
      </c>
    </row>
    <row r="988" spans="2:8" x14ac:dyDescent="0.25">
      <c r="B988" s="705" t="s">
        <v>442</v>
      </c>
      <c r="C988" s="706"/>
      <c r="D988" s="721" t="s">
        <v>419</v>
      </c>
      <c r="E988" s="722"/>
      <c r="F988" s="23">
        <v>1</v>
      </c>
      <c r="G988" s="23">
        <v>5.62</v>
      </c>
      <c r="H988" s="23">
        <f t="shared" ref="H988:H990" si="3">F988*G988</f>
        <v>5.62</v>
      </c>
    </row>
    <row r="989" spans="2:8" x14ac:dyDescent="0.25">
      <c r="B989" s="705" t="s">
        <v>443</v>
      </c>
      <c r="C989" s="706"/>
      <c r="D989" s="721" t="s">
        <v>420</v>
      </c>
      <c r="E989" s="722"/>
      <c r="F989" s="23">
        <v>1</v>
      </c>
      <c r="G989" s="23">
        <v>2.14</v>
      </c>
      <c r="H989" s="23">
        <f t="shared" si="3"/>
        <v>2.14</v>
      </c>
    </row>
    <row r="990" spans="2:8" x14ac:dyDescent="0.25">
      <c r="B990" s="705" t="s">
        <v>444</v>
      </c>
      <c r="C990" s="706"/>
      <c r="D990" s="721" t="s">
        <v>423</v>
      </c>
      <c r="E990" s="722"/>
      <c r="F990" s="23">
        <v>1</v>
      </c>
      <c r="G990" s="23">
        <v>2.1</v>
      </c>
      <c r="H990" s="23">
        <f t="shared" si="3"/>
        <v>2.1</v>
      </c>
    </row>
    <row r="991" spans="2:8" x14ac:dyDescent="0.25">
      <c r="B991" s="705" t="s">
        <v>445</v>
      </c>
      <c r="C991" s="706"/>
      <c r="D991" s="688" t="s">
        <v>430</v>
      </c>
      <c r="E991" s="689"/>
      <c r="F991" s="23">
        <v>1</v>
      </c>
      <c r="G991" s="23">
        <v>3.4</v>
      </c>
      <c r="H991" s="23">
        <v>3.44</v>
      </c>
    </row>
    <row r="992" spans="2:8" ht="15.75" thickBot="1" x14ac:dyDescent="0.3">
      <c r="B992" s="58"/>
      <c r="C992" s="59"/>
      <c r="D992" s="723"/>
      <c r="E992" s="724"/>
      <c r="F992" s="86"/>
      <c r="G992" s="86"/>
      <c r="H992" s="87"/>
    </row>
    <row r="993" spans="2:8" ht="15.75" thickBot="1" x14ac:dyDescent="0.3">
      <c r="B993" s="663"/>
      <c r="C993" s="664"/>
      <c r="D993" s="665" t="s">
        <v>243</v>
      </c>
      <c r="E993" s="666"/>
      <c r="F993" s="180"/>
      <c r="G993" s="180"/>
      <c r="H993" s="50">
        <f>SUM(H986:H992)</f>
        <v>202.64</v>
      </c>
    </row>
    <row r="994" spans="2:8" ht="15.75" thickBot="1" x14ac:dyDescent="0.3">
      <c r="H994" s="384"/>
    </row>
    <row r="995" spans="2:8" ht="15.75" thickBot="1" x14ac:dyDescent="0.3">
      <c r="B995" s="577" t="s">
        <v>151</v>
      </c>
      <c r="C995" s="578"/>
      <c r="D995" s="583" t="str">
        <f>CENIK_št_1!B160</f>
        <v>OSTALA DELA</v>
      </c>
      <c r="E995" s="584"/>
      <c r="F995" s="584"/>
      <c r="G995" s="584"/>
      <c r="H995" s="585"/>
    </row>
    <row r="996" spans="2:8" ht="23.25" thickBot="1" x14ac:dyDescent="0.3">
      <c r="B996" s="649" t="s">
        <v>36</v>
      </c>
      <c r="C996" s="650"/>
      <c r="D996" s="725" t="s">
        <v>37</v>
      </c>
      <c r="E996" s="726"/>
      <c r="F996" s="46" t="s">
        <v>422</v>
      </c>
      <c r="G996" s="46" t="s">
        <v>421</v>
      </c>
      <c r="H996" s="47" t="s">
        <v>41</v>
      </c>
    </row>
    <row r="997" spans="2:8" ht="27" customHeight="1" x14ac:dyDescent="0.25">
      <c r="B997" s="653" t="s">
        <v>175</v>
      </c>
      <c r="C997" s="654"/>
      <c r="D997" s="655" t="s">
        <v>434</v>
      </c>
      <c r="E997" s="656"/>
      <c r="F997" s="76"/>
      <c r="G997" s="76"/>
      <c r="H997" s="77"/>
    </row>
    <row r="998" spans="2:8" ht="30" customHeight="1" x14ac:dyDescent="0.25">
      <c r="B998" s="705" t="s">
        <v>424</v>
      </c>
      <c r="C998" s="706"/>
      <c r="D998" s="727" t="s">
        <v>417</v>
      </c>
      <c r="E998" s="728"/>
      <c r="F998" s="23">
        <v>1</v>
      </c>
      <c r="G998" s="23">
        <v>116.42</v>
      </c>
      <c r="H998" s="23">
        <f>F998*G998</f>
        <v>116.42</v>
      </c>
    </row>
    <row r="999" spans="2:8" x14ac:dyDescent="0.25">
      <c r="B999" s="705" t="s">
        <v>435</v>
      </c>
      <c r="C999" s="706"/>
      <c r="D999" s="721" t="s">
        <v>418</v>
      </c>
      <c r="E999" s="722"/>
      <c r="F999" s="23">
        <v>1</v>
      </c>
      <c r="G999" s="23">
        <v>22.4</v>
      </c>
      <c r="H999" s="23">
        <f>F999*G999</f>
        <v>22.4</v>
      </c>
    </row>
    <row r="1000" spans="2:8" x14ac:dyDescent="0.25">
      <c r="B1000" s="705" t="s">
        <v>436</v>
      </c>
      <c r="C1000" s="706"/>
      <c r="D1000" s="721" t="s">
        <v>419</v>
      </c>
      <c r="E1000" s="722"/>
      <c r="F1000" s="23">
        <v>1</v>
      </c>
      <c r="G1000" s="23">
        <v>11.95</v>
      </c>
      <c r="H1000" s="23">
        <f t="shared" ref="H1000:H1003" si="4">F1000*G1000</f>
        <v>11.95</v>
      </c>
    </row>
    <row r="1001" spans="2:8" ht="27.75" customHeight="1" x14ac:dyDescent="0.25">
      <c r="B1001" s="705" t="s">
        <v>437</v>
      </c>
      <c r="C1001" s="706"/>
      <c r="D1001" s="721" t="s">
        <v>420</v>
      </c>
      <c r="E1001" s="722"/>
      <c r="F1001" s="23">
        <v>1</v>
      </c>
      <c r="G1001" s="23">
        <v>12.44</v>
      </c>
      <c r="H1001" s="23">
        <f t="shared" si="4"/>
        <v>12.44</v>
      </c>
    </row>
    <row r="1002" spans="2:8" x14ac:dyDescent="0.25">
      <c r="B1002" s="705" t="s">
        <v>438</v>
      </c>
      <c r="C1002" s="706"/>
      <c r="D1002" s="721" t="s">
        <v>423</v>
      </c>
      <c r="E1002" s="722"/>
      <c r="F1002" s="23">
        <v>1</v>
      </c>
      <c r="G1002" s="23">
        <v>5.82</v>
      </c>
      <c r="H1002" s="23">
        <f t="shared" si="4"/>
        <v>5.82</v>
      </c>
    </row>
    <row r="1003" spans="2:8" x14ac:dyDescent="0.25">
      <c r="B1003" s="705" t="s">
        <v>439</v>
      </c>
      <c r="C1003" s="706"/>
      <c r="D1003" s="688" t="s">
        <v>430</v>
      </c>
      <c r="E1003" s="689"/>
      <c r="F1003" s="23">
        <v>1</v>
      </c>
      <c r="G1003" s="23">
        <v>16.78</v>
      </c>
      <c r="H1003" s="23">
        <f t="shared" si="4"/>
        <v>16.78</v>
      </c>
    </row>
    <row r="1004" spans="2:8" ht="15.75" thickBot="1" x14ac:dyDescent="0.3">
      <c r="B1004" s="58"/>
      <c r="C1004" s="59"/>
      <c r="D1004" s="723"/>
      <c r="E1004" s="724"/>
      <c r="F1004" s="86"/>
      <c r="G1004" s="86"/>
      <c r="H1004" s="87"/>
    </row>
    <row r="1005" spans="2:8" ht="15.75" thickBot="1" x14ac:dyDescent="0.3">
      <c r="B1005" s="663"/>
      <c r="C1005" s="664"/>
      <c r="D1005" s="665" t="s">
        <v>243</v>
      </c>
      <c r="E1005" s="666"/>
      <c r="F1005" s="180"/>
      <c r="G1005" s="180"/>
      <c r="H1005" s="50">
        <f>SUM(H998:H1004)</f>
        <v>185.80999999999997</v>
      </c>
    </row>
    <row r="1006" spans="2:8" ht="15.75" thickBot="1" x14ac:dyDescent="0.3"/>
    <row r="1007" spans="2:8" ht="15.75" thickBot="1" x14ac:dyDescent="0.3">
      <c r="B1007" s="577" t="s">
        <v>151</v>
      </c>
      <c r="C1007" s="578"/>
      <c r="D1007" s="583" t="str">
        <f>CENIK_št_1!B160</f>
        <v>OSTALA DELA</v>
      </c>
      <c r="E1007" s="584"/>
      <c r="F1007" s="584"/>
      <c r="G1007" s="584"/>
      <c r="H1007" s="585"/>
    </row>
    <row r="1008" spans="2:8" ht="23.25" thickBot="1" x14ac:dyDescent="0.3">
      <c r="B1008" s="649" t="s">
        <v>36</v>
      </c>
      <c r="C1008" s="650"/>
      <c r="D1008" s="725" t="s">
        <v>37</v>
      </c>
      <c r="E1008" s="726"/>
      <c r="F1008" s="46" t="s">
        <v>422</v>
      </c>
      <c r="G1008" s="46" t="s">
        <v>421</v>
      </c>
      <c r="H1008" s="47" t="s">
        <v>41</v>
      </c>
    </row>
    <row r="1009" spans="2:8" ht="27" customHeight="1" x14ac:dyDescent="0.25">
      <c r="B1009" s="653" t="s">
        <v>176</v>
      </c>
      <c r="C1009" s="654"/>
      <c r="D1009" s="655" t="s">
        <v>446</v>
      </c>
      <c r="E1009" s="656"/>
      <c r="F1009" s="76"/>
      <c r="G1009" s="76"/>
      <c r="H1009" s="77"/>
    </row>
    <row r="1010" spans="2:8" ht="26.25" customHeight="1" x14ac:dyDescent="0.25">
      <c r="B1010" s="705" t="s">
        <v>424</v>
      </c>
      <c r="C1010" s="706"/>
      <c r="D1010" s="727" t="s">
        <v>447</v>
      </c>
      <c r="E1010" s="728"/>
      <c r="F1010" s="23">
        <v>1</v>
      </c>
      <c r="G1010" s="23">
        <v>23.67</v>
      </c>
      <c r="H1010" s="23">
        <f>F1010*G1010</f>
        <v>23.67</v>
      </c>
    </row>
    <row r="1011" spans="2:8" x14ac:dyDescent="0.25">
      <c r="B1011" s="705" t="s">
        <v>435</v>
      </c>
      <c r="C1011" s="706"/>
      <c r="D1011" s="721" t="s">
        <v>448</v>
      </c>
      <c r="E1011" s="722"/>
      <c r="F1011" s="23">
        <v>1</v>
      </c>
      <c r="G1011" s="23">
        <v>25.5</v>
      </c>
      <c r="H1011" s="23">
        <f>F1011*G1011</f>
        <v>25.5</v>
      </c>
    </row>
    <row r="1012" spans="2:8" x14ac:dyDescent="0.25">
      <c r="B1012" s="705" t="s">
        <v>436</v>
      </c>
      <c r="C1012" s="706"/>
      <c r="D1012" s="721" t="s">
        <v>419</v>
      </c>
      <c r="E1012" s="722"/>
      <c r="F1012" s="23">
        <v>1</v>
      </c>
      <c r="G1012" s="23">
        <v>1.85</v>
      </c>
      <c r="H1012" s="23">
        <f t="shared" ref="H1012:H1015" si="5">F1012*G1012</f>
        <v>1.85</v>
      </c>
    </row>
    <row r="1013" spans="2:8" ht="25.5" customHeight="1" x14ac:dyDescent="0.25">
      <c r="B1013" s="705" t="s">
        <v>437</v>
      </c>
      <c r="C1013" s="706"/>
      <c r="D1013" s="721" t="s">
        <v>449</v>
      </c>
      <c r="E1013" s="722"/>
      <c r="F1013" s="23">
        <v>1</v>
      </c>
      <c r="G1013" s="23">
        <v>0.7</v>
      </c>
      <c r="H1013" s="23">
        <f t="shared" si="5"/>
        <v>0.7</v>
      </c>
    </row>
    <row r="1014" spans="2:8" x14ac:dyDescent="0.25">
      <c r="B1014" s="705" t="s">
        <v>438</v>
      </c>
      <c r="C1014" s="706"/>
      <c r="D1014" s="721" t="s">
        <v>450</v>
      </c>
      <c r="E1014" s="722"/>
      <c r="F1014" s="23">
        <v>1</v>
      </c>
      <c r="G1014" s="23">
        <v>0.69</v>
      </c>
      <c r="H1014" s="23">
        <f t="shared" si="5"/>
        <v>0.69</v>
      </c>
    </row>
    <row r="1015" spans="2:8" x14ac:dyDescent="0.25">
      <c r="B1015" s="705" t="s">
        <v>439</v>
      </c>
      <c r="C1015" s="706"/>
      <c r="D1015" s="688" t="s">
        <v>451</v>
      </c>
      <c r="E1015" s="689"/>
      <c r="F1015" s="23">
        <v>1</v>
      </c>
      <c r="G1015" s="23">
        <v>1.1299999999999999</v>
      </c>
      <c r="H1015" s="23">
        <f t="shared" si="5"/>
        <v>1.1299999999999999</v>
      </c>
    </row>
    <row r="1016" spans="2:8" ht="15.75" thickBot="1" x14ac:dyDescent="0.3">
      <c r="B1016" s="58"/>
      <c r="C1016" s="59"/>
      <c r="D1016" s="723"/>
      <c r="E1016" s="724"/>
      <c r="F1016" s="86"/>
      <c r="G1016" s="86"/>
      <c r="H1016" s="87"/>
    </row>
    <row r="1017" spans="2:8" ht="15.75" thickBot="1" x14ac:dyDescent="0.3">
      <c r="B1017" s="663"/>
      <c r="C1017" s="664"/>
      <c r="D1017" s="665" t="s">
        <v>243</v>
      </c>
      <c r="E1017" s="666"/>
      <c r="F1017" s="180"/>
      <c r="G1017" s="180"/>
      <c r="H1017" s="50">
        <f>SUM(H1010:H1016)</f>
        <v>53.540000000000006</v>
      </c>
    </row>
    <row r="1018" spans="2:8" ht="15.75" thickBot="1" x14ac:dyDescent="0.3"/>
    <row r="1019" spans="2:8" ht="15.75" thickBot="1" x14ac:dyDescent="0.3">
      <c r="B1019" s="577" t="s">
        <v>151</v>
      </c>
      <c r="C1019" s="578"/>
      <c r="D1019" s="583" t="str">
        <f>CENIK_št_1!B160</f>
        <v>OSTALA DELA</v>
      </c>
      <c r="E1019" s="584"/>
      <c r="F1019" s="584"/>
      <c r="G1019" s="584"/>
      <c r="H1019" s="585"/>
    </row>
    <row r="1020" spans="2:8" ht="15.75" thickBot="1" x14ac:dyDescent="0.3">
      <c r="B1020" s="649" t="s">
        <v>36</v>
      </c>
      <c r="C1020" s="650"/>
      <c r="D1020" s="725" t="s">
        <v>37</v>
      </c>
      <c r="E1020" s="726"/>
      <c r="F1020" s="46" t="s">
        <v>452</v>
      </c>
      <c r="G1020" s="46" t="s">
        <v>421</v>
      </c>
      <c r="H1020" s="47" t="s">
        <v>454</v>
      </c>
    </row>
    <row r="1021" spans="2:8" ht="28.5" customHeight="1" x14ac:dyDescent="0.25">
      <c r="B1021" s="653" t="s">
        <v>177</v>
      </c>
      <c r="C1021" s="654"/>
      <c r="D1021" s="655" t="s">
        <v>161</v>
      </c>
      <c r="E1021" s="656"/>
      <c r="F1021" s="76"/>
      <c r="G1021" s="76"/>
      <c r="H1021" s="77"/>
    </row>
    <row r="1022" spans="2:8" x14ac:dyDescent="0.25">
      <c r="B1022" s="705"/>
      <c r="C1022" s="706"/>
      <c r="D1022" s="721" t="s">
        <v>457</v>
      </c>
      <c r="E1022" s="722"/>
      <c r="F1022" s="23">
        <v>4850</v>
      </c>
      <c r="G1022" s="23">
        <v>1650</v>
      </c>
      <c r="H1022" s="27">
        <f>G1022/F1022</f>
        <v>0.34020618556701032</v>
      </c>
    </row>
    <row r="1023" spans="2:8" x14ac:dyDescent="0.25">
      <c r="B1023" s="58"/>
      <c r="C1023" s="59"/>
      <c r="D1023" s="386"/>
      <c r="E1023" s="387" t="s">
        <v>456</v>
      </c>
      <c r="F1023" s="23">
        <v>30</v>
      </c>
      <c r="G1023" s="23"/>
      <c r="H1023" s="27">
        <f>H1022/F1023</f>
        <v>1.134020618556701E-2</v>
      </c>
    </row>
    <row r="1024" spans="2:8" x14ac:dyDescent="0.25">
      <c r="B1024" s="58"/>
      <c r="C1024" s="59"/>
      <c r="D1024" s="386"/>
      <c r="E1024" s="387" t="s">
        <v>455</v>
      </c>
      <c r="F1024" s="23">
        <v>12.5</v>
      </c>
      <c r="G1024" s="23"/>
      <c r="H1024" s="23">
        <f>H1023*F1024</f>
        <v>0.14175257731958762</v>
      </c>
    </row>
    <row r="1025" spans="2:8" x14ac:dyDescent="0.25">
      <c r="B1025" s="705"/>
      <c r="C1025" s="706"/>
      <c r="D1025" s="729" t="s">
        <v>458</v>
      </c>
      <c r="E1025" s="730"/>
      <c r="F1025" s="23"/>
      <c r="G1025" s="23"/>
      <c r="H1025" s="23"/>
    </row>
    <row r="1026" spans="2:8" ht="27" customHeight="1" x14ac:dyDescent="0.25">
      <c r="B1026" s="705"/>
      <c r="C1026" s="706"/>
      <c r="D1026" s="721" t="str">
        <f>CENIK_št_1!B42</f>
        <v>Strokovna dela (nadzor, vodenje, pregledi objektov, izdelava poročil, izvedbeni načrti)</v>
      </c>
      <c r="E1026" s="722"/>
      <c r="F1026" s="23">
        <v>2</v>
      </c>
      <c r="G1026" s="23">
        <f>CENIK_št_1!K42</f>
        <v>29.57</v>
      </c>
      <c r="H1026" s="23">
        <f>F1026*G1026</f>
        <v>59.14</v>
      </c>
    </row>
    <row r="1027" spans="2:8" ht="27" customHeight="1" x14ac:dyDescent="0.25">
      <c r="B1027" s="58"/>
      <c r="C1027" s="59"/>
      <c r="D1027" s="721" t="str">
        <f>CENIK_št_1!B41</f>
        <v>Delovodja, Skupinovodja, Preglednik, Dispečer, Voznik, Strojnik</v>
      </c>
      <c r="E1027" s="722"/>
      <c r="F1027" s="23">
        <v>2</v>
      </c>
      <c r="G1027" s="23">
        <f>CENIK_št_1!K41</f>
        <v>21.02</v>
      </c>
      <c r="H1027" s="23">
        <f>F1027*G1027</f>
        <v>42.04</v>
      </c>
    </row>
    <row r="1028" spans="2:8" x14ac:dyDescent="0.25">
      <c r="B1028" s="705"/>
      <c r="C1028" s="706"/>
      <c r="D1028" s="721" t="s">
        <v>456</v>
      </c>
      <c r="E1028" s="722"/>
      <c r="F1028" s="23">
        <v>30</v>
      </c>
      <c r="G1028" s="23"/>
      <c r="H1028" s="23">
        <f>(H1026+H1027)/F1028</f>
        <v>3.3726666666666669</v>
      </c>
    </row>
    <row r="1029" spans="2:8" x14ac:dyDescent="0.25">
      <c r="B1029" s="705"/>
      <c r="C1029" s="706"/>
      <c r="D1029" s="721"/>
      <c r="E1029" s="722"/>
      <c r="F1029" s="23"/>
      <c r="G1029" s="23"/>
      <c r="H1029" s="23"/>
    </row>
    <row r="1030" spans="2:8" x14ac:dyDescent="0.25">
      <c r="B1030" s="705"/>
      <c r="C1030" s="706"/>
      <c r="D1030" s="688"/>
      <c r="E1030" s="689"/>
      <c r="F1030" s="23"/>
      <c r="G1030" s="23"/>
      <c r="H1030" s="23"/>
    </row>
    <row r="1031" spans="2:8" ht="15.75" thickBot="1" x14ac:dyDescent="0.3">
      <c r="B1031" s="58"/>
      <c r="C1031" s="59"/>
      <c r="D1031" s="723"/>
      <c r="E1031" s="724"/>
      <c r="F1031" s="86"/>
      <c r="G1031" s="86"/>
      <c r="H1031" s="87"/>
    </row>
    <row r="1032" spans="2:8" ht="15.75" thickBot="1" x14ac:dyDescent="0.3">
      <c r="B1032" s="663"/>
      <c r="C1032" s="664"/>
      <c r="D1032" s="665" t="s">
        <v>453</v>
      </c>
      <c r="E1032" s="666"/>
      <c r="F1032" s="385">
        <v>12.5</v>
      </c>
      <c r="G1032" s="180"/>
      <c r="H1032" s="50">
        <f>H1024+H1028</f>
        <v>3.5144192439862545</v>
      </c>
    </row>
    <row r="1036" spans="2:8" ht="23.25" customHeight="1" x14ac:dyDescent="0.25"/>
    <row r="1037" spans="2:8" ht="27.75" customHeight="1" x14ac:dyDescent="0.25"/>
  </sheetData>
  <sheetProtection selectLockedCells="1" selectUnlockedCells="1"/>
  <mergeCells count="1539">
    <mergeCell ref="B271:C271"/>
    <mergeCell ref="D271:E271"/>
    <mergeCell ref="P6:Q6"/>
    <mergeCell ref="R6:S6"/>
    <mergeCell ref="R7:V7"/>
    <mergeCell ref="C262:I262"/>
    <mergeCell ref="B263:C263"/>
    <mergeCell ref="D263:E263"/>
    <mergeCell ref="B264:C264"/>
    <mergeCell ref="D264:E264"/>
    <mergeCell ref="D265:E265"/>
    <mergeCell ref="D266:E266"/>
    <mergeCell ref="B267:C267"/>
    <mergeCell ref="D267:E267"/>
    <mergeCell ref="B268:C268"/>
    <mergeCell ref="D268:E268"/>
    <mergeCell ref="B269:C269"/>
    <mergeCell ref="D269:E269"/>
    <mergeCell ref="B270:C270"/>
    <mergeCell ref="D270:E270"/>
    <mergeCell ref="R61:S61"/>
    <mergeCell ref="R63:S63"/>
    <mergeCell ref="R67:S67"/>
    <mergeCell ref="R72:S72"/>
    <mergeCell ref="P73:Q73"/>
    <mergeCell ref="R73:S73"/>
    <mergeCell ref="P74:Q74"/>
    <mergeCell ref="P75:Q75"/>
    <mergeCell ref="P76:Q76"/>
    <mergeCell ref="R76:S76"/>
    <mergeCell ref="P77:Q77"/>
    <mergeCell ref="R77:S77"/>
    <mergeCell ref="B272:C272"/>
    <mergeCell ref="D272:E272"/>
    <mergeCell ref="B273:C273"/>
    <mergeCell ref="D273:E273"/>
    <mergeCell ref="R78:S78"/>
    <mergeCell ref="P79:Q79"/>
    <mergeCell ref="R79:S79"/>
    <mergeCell ref="E1:J1"/>
    <mergeCell ref="C3:D3"/>
    <mergeCell ref="E3:I3"/>
    <mergeCell ref="E4:F4"/>
    <mergeCell ref="E6:I6"/>
    <mergeCell ref="E31:F31"/>
    <mergeCell ref="E40:F40"/>
    <mergeCell ref="E43:F43"/>
    <mergeCell ref="E48:F48"/>
    <mergeCell ref="E49:F49"/>
    <mergeCell ref="E56:F56"/>
    <mergeCell ref="E60:F60"/>
    <mergeCell ref="E62:F62"/>
    <mergeCell ref="E66:F66"/>
    <mergeCell ref="E70:F70"/>
    <mergeCell ref="C71:D71"/>
    <mergeCell ref="E75:F75"/>
    <mergeCell ref="R2:W2"/>
    <mergeCell ref="P4:Q4"/>
    <mergeCell ref="R4:V4"/>
    <mergeCell ref="P5:Q5"/>
    <mergeCell ref="R5:S5"/>
    <mergeCell ref="R68:S68"/>
    <mergeCell ref="R71:S71"/>
    <mergeCell ref="P72:Q72"/>
    <mergeCell ref="P78:Q78"/>
    <mergeCell ref="E17:F17"/>
    <mergeCell ref="E20:F20"/>
    <mergeCell ref="E30:F30"/>
    <mergeCell ref="E18:F18"/>
    <mergeCell ref="E77:F77"/>
    <mergeCell ref="R19:S19"/>
    <mergeCell ref="R20:S20"/>
    <mergeCell ref="R22:S22"/>
    <mergeCell ref="R32:S32"/>
    <mergeCell ref="R33:S33"/>
    <mergeCell ref="R35:S35"/>
    <mergeCell ref="R41:S41"/>
    <mergeCell ref="R42:S42"/>
    <mergeCell ref="R44:S44"/>
    <mergeCell ref="R50:S50"/>
    <mergeCell ref="R51:S51"/>
    <mergeCell ref="R53:S53"/>
    <mergeCell ref="R57:S57"/>
    <mergeCell ref="R58:S58"/>
    <mergeCell ref="B431:C431"/>
    <mergeCell ref="D431:E431"/>
    <mergeCell ref="B432:C432"/>
    <mergeCell ref="D432:E432"/>
    <mergeCell ref="C421:I421"/>
    <mergeCell ref="B422:C422"/>
    <mergeCell ref="D422:E422"/>
    <mergeCell ref="B423:C423"/>
    <mergeCell ref="D423:E423"/>
    <mergeCell ref="D424:E424"/>
    <mergeCell ref="D425:E425"/>
    <mergeCell ref="B426:C426"/>
    <mergeCell ref="D426:E426"/>
    <mergeCell ref="B427:C427"/>
    <mergeCell ref="D427:E427"/>
    <mergeCell ref="B428:C428"/>
    <mergeCell ref="D428:E428"/>
    <mergeCell ref="B429:C429"/>
    <mergeCell ref="D429:E429"/>
    <mergeCell ref="B430:C430"/>
    <mergeCell ref="D430:E430"/>
    <mergeCell ref="D881:E881"/>
    <mergeCell ref="D929:E929"/>
    <mergeCell ref="D930:E930"/>
    <mergeCell ref="D933:E933"/>
    <mergeCell ref="D955:E955"/>
    <mergeCell ref="D951:E951"/>
    <mergeCell ref="D952:E952"/>
    <mergeCell ref="D953:E953"/>
    <mergeCell ref="D942:E942"/>
    <mergeCell ref="D943:E943"/>
    <mergeCell ref="B950:C950"/>
    <mergeCell ref="B951:C951"/>
    <mergeCell ref="D954:E954"/>
    <mergeCell ref="B945:C945"/>
    <mergeCell ref="B948:C948"/>
    <mergeCell ref="B938:C938"/>
    <mergeCell ref="B939:C939"/>
    <mergeCell ref="D939:E939"/>
    <mergeCell ref="D940:E940"/>
    <mergeCell ref="D941:E941"/>
    <mergeCell ref="D944:E944"/>
    <mergeCell ref="D945:E945"/>
    <mergeCell ref="B918:C918"/>
    <mergeCell ref="B919:C919"/>
    <mergeCell ref="D919:E919"/>
    <mergeCell ref="B920:C920"/>
    <mergeCell ref="D920:E920"/>
    <mergeCell ref="D921:E921"/>
    <mergeCell ref="D922:E922"/>
    <mergeCell ref="D923:E923"/>
    <mergeCell ref="D924:E924"/>
    <mergeCell ref="D925:E925"/>
    <mergeCell ref="D926:E926"/>
    <mergeCell ref="D927:E927"/>
    <mergeCell ref="D928:E928"/>
    <mergeCell ref="B846:C846"/>
    <mergeCell ref="D846:J846"/>
    <mergeCell ref="B847:C847"/>
    <mergeCell ref="D847:E847"/>
    <mergeCell ref="B848:C848"/>
    <mergeCell ref="D848:E848"/>
    <mergeCell ref="B849:C849"/>
    <mergeCell ref="D849:E849"/>
    <mergeCell ref="D850:E850"/>
    <mergeCell ref="D851:E851"/>
    <mergeCell ref="D852:E852"/>
    <mergeCell ref="D853:E853"/>
    <mergeCell ref="B854:C854"/>
    <mergeCell ref="D854:E854"/>
    <mergeCell ref="D914:E914"/>
    <mergeCell ref="B869:C869"/>
    <mergeCell ref="D869:E869"/>
    <mergeCell ref="D870:E870"/>
    <mergeCell ref="D871:E871"/>
    <mergeCell ref="D872:E872"/>
    <mergeCell ref="D873:E873"/>
    <mergeCell ref="D874:E874"/>
    <mergeCell ref="B897:C897"/>
    <mergeCell ref="B898:C898"/>
    <mergeCell ref="D898:E898"/>
    <mergeCell ref="B899:C899"/>
    <mergeCell ref="D910:E910"/>
    <mergeCell ref="B878:C878"/>
    <mergeCell ref="D878:E878"/>
    <mergeCell ref="B877:C877"/>
    <mergeCell ref="D861:E861"/>
    <mergeCell ref="D862:E862"/>
    <mergeCell ref="D863:E863"/>
    <mergeCell ref="B864:C864"/>
    <mergeCell ref="D864:E864"/>
    <mergeCell ref="B867:C867"/>
    <mergeCell ref="B868:C868"/>
    <mergeCell ref="D868:E868"/>
    <mergeCell ref="B859:C859"/>
    <mergeCell ref="D830:E830"/>
    <mergeCell ref="D860:E860"/>
    <mergeCell ref="B858:C858"/>
    <mergeCell ref="D858:E858"/>
    <mergeCell ref="B838:C838"/>
    <mergeCell ref="D838:E838"/>
    <mergeCell ref="B835:C835"/>
    <mergeCell ref="D835:J835"/>
    <mergeCell ref="B836:C836"/>
    <mergeCell ref="D836:E836"/>
    <mergeCell ref="D859:E859"/>
    <mergeCell ref="D774:E774"/>
    <mergeCell ref="D775:E775"/>
    <mergeCell ref="D776:E776"/>
    <mergeCell ref="D777:E777"/>
    <mergeCell ref="B813:C813"/>
    <mergeCell ref="D813:J813"/>
    <mergeCell ref="B814:C814"/>
    <mergeCell ref="D814:E814"/>
    <mergeCell ref="B815:C815"/>
    <mergeCell ref="D815:E815"/>
    <mergeCell ref="D782:E782"/>
    <mergeCell ref="D783:E783"/>
    <mergeCell ref="D784:E784"/>
    <mergeCell ref="B785:C785"/>
    <mergeCell ref="D785:E785"/>
    <mergeCell ref="B786:C786"/>
    <mergeCell ref="D786:E786"/>
    <mergeCell ref="B787:C787"/>
    <mergeCell ref="D787:E787"/>
    <mergeCell ref="B788:C788"/>
    <mergeCell ref="D788:E788"/>
    <mergeCell ref="B803:C803"/>
    <mergeCell ref="D803:E803"/>
    <mergeCell ref="C801:H801"/>
    <mergeCell ref="B802:C802"/>
    <mergeCell ref="D802:E802"/>
    <mergeCell ref="D793:E793"/>
    <mergeCell ref="D794:E794"/>
    <mergeCell ref="B795:C795"/>
    <mergeCell ref="D795:E795"/>
    <mergeCell ref="B796:C796"/>
    <mergeCell ref="B799:C799"/>
    <mergeCell ref="D449:E449"/>
    <mergeCell ref="B450:C450"/>
    <mergeCell ref="D450:E450"/>
    <mergeCell ref="D562:E562"/>
    <mergeCell ref="D563:E563"/>
    <mergeCell ref="B564:C564"/>
    <mergeCell ref="B529:C529"/>
    <mergeCell ref="D529:E529"/>
    <mergeCell ref="B530:C530"/>
    <mergeCell ref="D564:E564"/>
    <mergeCell ref="C572:I572"/>
    <mergeCell ref="B573:C573"/>
    <mergeCell ref="B739:C739"/>
    <mergeCell ref="D739:E739"/>
    <mergeCell ref="D736:E736"/>
    <mergeCell ref="B736:C736"/>
    <mergeCell ref="C738:H738"/>
    <mergeCell ref="D732:E732"/>
    <mergeCell ref="B733:C733"/>
    <mergeCell ref="D733:E733"/>
    <mergeCell ref="B734:C734"/>
    <mergeCell ref="D728:E728"/>
    <mergeCell ref="B729:C729"/>
    <mergeCell ref="D729:E729"/>
    <mergeCell ref="D689:E689"/>
    <mergeCell ref="B690:C690"/>
    <mergeCell ref="D690:E690"/>
    <mergeCell ref="B691:C691"/>
    <mergeCell ref="D691:E691"/>
    <mergeCell ref="B692:C692"/>
    <mergeCell ref="D692:E692"/>
    <mergeCell ref="D730:E730"/>
    <mergeCell ref="B391:C391"/>
    <mergeCell ref="D386:E386"/>
    <mergeCell ref="C395:I395"/>
    <mergeCell ref="B396:C396"/>
    <mergeCell ref="D396:E396"/>
    <mergeCell ref="B409:C409"/>
    <mergeCell ref="D409:E409"/>
    <mergeCell ref="B401:C401"/>
    <mergeCell ref="D401:E401"/>
    <mergeCell ref="B402:C402"/>
    <mergeCell ref="D402:E402"/>
    <mergeCell ref="B403:C403"/>
    <mergeCell ref="C408:I408"/>
    <mergeCell ref="B404:C404"/>
    <mergeCell ref="D404:E404"/>
    <mergeCell ref="B405:C405"/>
    <mergeCell ref="D405:E405"/>
    <mergeCell ref="B406:C406"/>
    <mergeCell ref="D406:E406"/>
    <mergeCell ref="D373:E373"/>
    <mergeCell ref="B374:C374"/>
    <mergeCell ref="D374:E374"/>
    <mergeCell ref="B375:C375"/>
    <mergeCell ref="D375:E375"/>
    <mergeCell ref="D391:E391"/>
    <mergeCell ref="D438:E438"/>
    <mergeCell ref="C435:H435"/>
    <mergeCell ref="D495:E495"/>
    <mergeCell ref="B440:C440"/>
    <mergeCell ref="B388:C388"/>
    <mergeCell ref="D388:E388"/>
    <mergeCell ref="B389:C389"/>
    <mergeCell ref="D389:E389"/>
    <mergeCell ref="B390:C390"/>
    <mergeCell ref="D383:E383"/>
    <mergeCell ref="D384:E384"/>
    <mergeCell ref="D385:E385"/>
    <mergeCell ref="B386:C386"/>
    <mergeCell ref="D465:E465"/>
    <mergeCell ref="B466:C466"/>
    <mergeCell ref="D466:E466"/>
    <mergeCell ref="C381:I381"/>
    <mergeCell ref="C479:H479"/>
    <mergeCell ref="B480:C480"/>
    <mergeCell ref="D480:E480"/>
    <mergeCell ref="B481:C481"/>
    <mergeCell ref="D481:E481"/>
    <mergeCell ref="D440:E440"/>
    <mergeCell ref="B382:C382"/>
    <mergeCell ref="D382:E382"/>
    <mergeCell ref="B383:C383"/>
    <mergeCell ref="B441:C441"/>
    <mergeCell ref="D441:E441"/>
    <mergeCell ref="B436:C436"/>
    <mergeCell ref="D343:E343"/>
    <mergeCell ref="D344:E344"/>
    <mergeCell ref="D345:E345"/>
    <mergeCell ref="B346:C346"/>
    <mergeCell ref="D346:E346"/>
    <mergeCell ref="B347:C347"/>
    <mergeCell ref="D347:E347"/>
    <mergeCell ref="B348:C348"/>
    <mergeCell ref="D348:E348"/>
    <mergeCell ref="B349:C349"/>
    <mergeCell ref="D349:E349"/>
    <mergeCell ref="B350:C350"/>
    <mergeCell ref="D350:E350"/>
    <mergeCell ref="B351:C351"/>
    <mergeCell ref="D351:E351"/>
    <mergeCell ref="B352:C352"/>
    <mergeCell ref="D352:E352"/>
    <mergeCell ref="B376:C376"/>
    <mergeCell ref="D376:E376"/>
    <mergeCell ref="B377:C377"/>
    <mergeCell ref="D377:E377"/>
    <mergeCell ref="C368:I368"/>
    <mergeCell ref="B369:C369"/>
    <mergeCell ref="D369:E369"/>
    <mergeCell ref="B370:C370"/>
    <mergeCell ref="D370:E370"/>
    <mergeCell ref="D371:E371"/>
    <mergeCell ref="D372:E372"/>
    <mergeCell ref="B373:C373"/>
    <mergeCell ref="B146:C146"/>
    <mergeCell ref="B163:C163"/>
    <mergeCell ref="D163:E163"/>
    <mergeCell ref="B164:C164"/>
    <mergeCell ref="B162:C162"/>
    <mergeCell ref="D154:E154"/>
    <mergeCell ref="B155:C155"/>
    <mergeCell ref="D155:E155"/>
    <mergeCell ref="D156:E156"/>
    <mergeCell ref="D164:E164"/>
    <mergeCell ref="B323:C323"/>
    <mergeCell ref="D323:E323"/>
    <mergeCell ref="D175:E175"/>
    <mergeCell ref="B320:C320"/>
    <mergeCell ref="D320:E320"/>
    <mergeCell ref="B321:C321"/>
    <mergeCell ref="B339:C339"/>
    <mergeCell ref="D339:E339"/>
    <mergeCell ref="D332:E332"/>
    <mergeCell ref="B333:C333"/>
    <mergeCell ref="D333:E333"/>
    <mergeCell ref="D162:E162"/>
    <mergeCell ref="B316:C316"/>
    <mergeCell ref="D316:E316"/>
    <mergeCell ref="D160:E160"/>
    <mergeCell ref="B161:C161"/>
    <mergeCell ref="D161:E161"/>
    <mergeCell ref="B206:C206"/>
    <mergeCell ref="D206:E206"/>
    <mergeCell ref="B207:C207"/>
    <mergeCell ref="D207:E207"/>
    <mergeCell ref="C209:I209"/>
    <mergeCell ref="D93:H93"/>
    <mergeCell ref="D109:E109"/>
    <mergeCell ref="B110:C110"/>
    <mergeCell ref="D110:E110"/>
    <mergeCell ref="B111:C111"/>
    <mergeCell ref="D111:E111"/>
    <mergeCell ref="B107:C107"/>
    <mergeCell ref="D107:E107"/>
    <mergeCell ref="D108:E108"/>
    <mergeCell ref="B108:C108"/>
    <mergeCell ref="B93:C93"/>
    <mergeCell ref="D158:E158"/>
    <mergeCell ref="B102:C102"/>
    <mergeCell ref="D102:E102"/>
    <mergeCell ref="B103:C103"/>
    <mergeCell ref="C315:I315"/>
    <mergeCell ref="D117:H117"/>
    <mergeCell ref="B94:C94"/>
    <mergeCell ref="D94:H94"/>
    <mergeCell ref="B95:C95"/>
    <mergeCell ref="D95:E95"/>
    <mergeCell ref="D99:E99"/>
    <mergeCell ref="B98:C98"/>
    <mergeCell ref="D98:E98"/>
    <mergeCell ref="B100:C100"/>
    <mergeCell ref="B96:C96"/>
    <mergeCell ref="D96:E96"/>
    <mergeCell ref="D97:E97"/>
    <mergeCell ref="D100:E100"/>
    <mergeCell ref="B101:C101"/>
    <mergeCell ref="B160:C160"/>
    <mergeCell ref="B141:C141"/>
    <mergeCell ref="D113:E113"/>
    <mergeCell ref="B119:C119"/>
    <mergeCell ref="B122:C122"/>
    <mergeCell ref="B130:C130"/>
    <mergeCell ref="D130:E130"/>
    <mergeCell ref="D129:E129"/>
    <mergeCell ref="B127:C127"/>
    <mergeCell ref="D127:E127"/>
    <mergeCell ref="D122:E122"/>
    <mergeCell ref="D128:E128"/>
    <mergeCell ref="B317:C317"/>
    <mergeCell ref="D317:E317"/>
    <mergeCell ref="B131:C131"/>
    <mergeCell ref="D131:E131"/>
    <mergeCell ref="D157:E157"/>
    <mergeCell ref="B158:C158"/>
    <mergeCell ref="C153:I153"/>
    <mergeCell ref="D141:E141"/>
    <mergeCell ref="D142:E142"/>
    <mergeCell ref="D143:E143"/>
    <mergeCell ref="B144:C144"/>
    <mergeCell ref="D144:E144"/>
    <mergeCell ref="C139:I139"/>
    <mergeCell ref="D146:E146"/>
    <mergeCell ref="B147:C147"/>
    <mergeCell ref="D147:E147"/>
    <mergeCell ref="B148:C148"/>
    <mergeCell ref="D148:E148"/>
    <mergeCell ref="B149:C149"/>
    <mergeCell ref="D149:E149"/>
    <mergeCell ref="B145:C145"/>
    <mergeCell ref="D145:E145"/>
    <mergeCell ref="B114:C114"/>
    <mergeCell ref="B126:C126"/>
    <mergeCell ref="D126:E126"/>
    <mergeCell ref="D114:E114"/>
    <mergeCell ref="B117:C117"/>
    <mergeCell ref="D119:E119"/>
    <mergeCell ref="B118:C118"/>
    <mergeCell ref="D118:E118"/>
    <mergeCell ref="D120:E120"/>
    <mergeCell ref="D121:E121"/>
    <mergeCell ref="B120:C120"/>
    <mergeCell ref="D101:E101"/>
    <mergeCell ref="C125:I125"/>
    <mergeCell ref="D133:E133"/>
    <mergeCell ref="B105:C105"/>
    <mergeCell ref="D105:H105"/>
    <mergeCell ref="D140:E140"/>
    <mergeCell ref="B135:C135"/>
    <mergeCell ref="D135:E135"/>
    <mergeCell ref="B140:C140"/>
    <mergeCell ref="B136:C136"/>
    <mergeCell ref="D136:E136"/>
    <mergeCell ref="B134:C134"/>
    <mergeCell ref="D134:E134"/>
    <mergeCell ref="B132:C132"/>
    <mergeCell ref="D132:E132"/>
    <mergeCell ref="D103:E103"/>
    <mergeCell ref="D112:E112"/>
    <mergeCell ref="B106:C106"/>
    <mergeCell ref="D106:E106"/>
    <mergeCell ref="B133:C133"/>
    <mergeCell ref="B113:C113"/>
    <mergeCell ref="B150:C150"/>
    <mergeCell ref="D150:E150"/>
    <mergeCell ref="C196:I196"/>
    <mergeCell ref="B197:C197"/>
    <mergeCell ref="D197:E197"/>
    <mergeCell ref="B198:C198"/>
    <mergeCell ref="D198:E198"/>
    <mergeCell ref="D199:E199"/>
    <mergeCell ref="D200:E200"/>
    <mergeCell ref="B168:C168"/>
    <mergeCell ref="D168:E168"/>
    <mergeCell ref="B176:C176"/>
    <mergeCell ref="D176:E176"/>
    <mergeCell ref="B177:C177"/>
    <mergeCell ref="D177:E177"/>
    <mergeCell ref="B178:C178"/>
    <mergeCell ref="D178:E178"/>
    <mergeCell ref="B154:C154"/>
    <mergeCell ref="B169:C169"/>
    <mergeCell ref="D169:E169"/>
    <mergeCell ref="D170:E170"/>
    <mergeCell ref="D171:E171"/>
    <mergeCell ref="B172:C172"/>
    <mergeCell ref="D172:E172"/>
    <mergeCell ref="B173:C173"/>
    <mergeCell ref="D173:E173"/>
    <mergeCell ref="B174:C174"/>
    <mergeCell ref="D174:E174"/>
    <mergeCell ref="C167:I167"/>
    <mergeCell ref="B159:C159"/>
    <mergeCell ref="D159:E159"/>
    <mergeCell ref="B175:C175"/>
    <mergeCell ref="D210:E210"/>
    <mergeCell ref="B211:C211"/>
    <mergeCell ref="D211:E211"/>
    <mergeCell ref="B201:C201"/>
    <mergeCell ref="D201:E201"/>
    <mergeCell ref="B202:C202"/>
    <mergeCell ref="D202:E202"/>
    <mergeCell ref="B203:C203"/>
    <mergeCell ref="D203:E203"/>
    <mergeCell ref="B204:C204"/>
    <mergeCell ref="D204:E204"/>
    <mergeCell ref="B205:C205"/>
    <mergeCell ref="D205:E205"/>
    <mergeCell ref="B218:C218"/>
    <mergeCell ref="D218:E218"/>
    <mergeCell ref="B219:C219"/>
    <mergeCell ref="D219:E219"/>
    <mergeCell ref="B210:C210"/>
    <mergeCell ref="B220:C220"/>
    <mergeCell ref="D220:E220"/>
    <mergeCell ref="C222:I222"/>
    <mergeCell ref="B223:C223"/>
    <mergeCell ref="D223:E223"/>
    <mergeCell ref="D212:E212"/>
    <mergeCell ref="D213:E213"/>
    <mergeCell ref="B214:C214"/>
    <mergeCell ref="D214:E214"/>
    <mergeCell ref="B215:C215"/>
    <mergeCell ref="D215:E215"/>
    <mergeCell ref="B216:C216"/>
    <mergeCell ref="D216:E216"/>
    <mergeCell ref="B217:C217"/>
    <mergeCell ref="D217:E217"/>
    <mergeCell ref="B230:C230"/>
    <mergeCell ref="D230:E230"/>
    <mergeCell ref="B231:C231"/>
    <mergeCell ref="D231:E231"/>
    <mergeCell ref="B232:C232"/>
    <mergeCell ref="D232:E232"/>
    <mergeCell ref="B233:C233"/>
    <mergeCell ref="D233:E233"/>
    <mergeCell ref="C236:I236"/>
    <mergeCell ref="B224:C224"/>
    <mergeCell ref="D224:E224"/>
    <mergeCell ref="D225:E225"/>
    <mergeCell ref="D226:E226"/>
    <mergeCell ref="B227:C227"/>
    <mergeCell ref="D227:E227"/>
    <mergeCell ref="B228:C228"/>
    <mergeCell ref="D228:E228"/>
    <mergeCell ref="B229:C229"/>
    <mergeCell ref="D229:E229"/>
    <mergeCell ref="D243:E243"/>
    <mergeCell ref="B244:C244"/>
    <mergeCell ref="D244:E244"/>
    <mergeCell ref="B245:C245"/>
    <mergeCell ref="D245:E245"/>
    <mergeCell ref="B246:C246"/>
    <mergeCell ref="D246:E246"/>
    <mergeCell ref="B247:C247"/>
    <mergeCell ref="D247:E247"/>
    <mergeCell ref="B237:C237"/>
    <mergeCell ref="D237:E237"/>
    <mergeCell ref="B238:C238"/>
    <mergeCell ref="D238:E238"/>
    <mergeCell ref="D239:E239"/>
    <mergeCell ref="D240:E240"/>
    <mergeCell ref="B241:C241"/>
    <mergeCell ref="D241:E241"/>
    <mergeCell ref="B242:C242"/>
    <mergeCell ref="D242:E242"/>
    <mergeCell ref="B293:C293"/>
    <mergeCell ref="D293:E293"/>
    <mergeCell ref="B294:C294"/>
    <mergeCell ref="D294:E294"/>
    <mergeCell ref="B295:C295"/>
    <mergeCell ref="D295:E295"/>
    <mergeCell ref="B296:C296"/>
    <mergeCell ref="D296:E296"/>
    <mergeCell ref="B297:C297"/>
    <mergeCell ref="D297:E297"/>
    <mergeCell ref="B260:C260"/>
    <mergeCell ref="D260:E260"/>
    <mergeCell ref="C288:I288"/>
    <mergeCell ref="B289:C289"/>
    <mergeCell ref="D289:E289"/>
    <mergeCell ref="B290:C290"/>
    <mergeCell ref="D290:E290"/>
    <mergeCell ref="D291:E291"/>
    <mergeCell ref="D292:E292"/>
    <mergeCell ref="C275:I275"/>
    <mergeCell ref="B276:C276"/>
    <mergeCell ref="D276:E276"/>
    <mergeCell ref="B277:C277"/>
    <mergeCell ref="D277:E277"/>
    <mergeCell ref="D278:E278"/>
    <mergeCell ref="D279:E279"/>
    <mergeCell ref="B280:C280"/>
    <mergeCell ref="D280:E280"/>
    <mergeCell ref="B281:C281"/>
    <mergeCell ref="D281:E281"/>
    <mergeCell ref="B282:C282"/>
    <mergeCell ref="D282:E282"/>
    <mergeCell ref="D304:E304"/>
    <mergeCell ref="D305:E305"/>
    <mergeCell ref="B306:C306"/>
    <mergeCell ref="D306:E306"/>
    <mergeCell ref="B307:C307"/>
    <mergeCell ref="D307:E307"/>
    <mergeCell ref="B308:C308"/>
    <mergeCell ref="D308:E308"/>
    <mergeCell ref="B309:C309"/>
    <mergeCell ref="D309:E309"/>
    <mergeCell ref="B329:C329"/>
    <mergeCell ref="D329:E329"/>
    <mergeCell ref="B330:C330"/>
    <mergeCell ref="D330:E330"/>
    <mergeCell ref="D331:E331"/>
    <mergeCell ref="D319:E319"/>
    <mergeCell ref="B298:C298"/>
    <mergeCell ref="D298:E298"/>
    <mergeCell ref="B299:C299"/>
    <mergeCell ref="D299:E299"/>
    <mergeCell ref="C301:I301"/>
    <mergeCell ref="B302:C302"/>
    <mergeCell ref="D302:E302"/>
    <mergeCell ref="B303:C303"/>
    <mergeCell ref="D303:E303"/>
    <mergeCell ref="D318:E318"/>
    <mergeCell ref="B324:C324"/>
    <mergeCell ref="D324:E324"/>
    <mergeCell ref="B325:C325"/>
    <mergeCell ref="D325:E325"/>
    <mergeCell ref="B326:C326"/>
    <mergeCell ref="D326:E326"/>
    <mergeCell ref="B310:C310"/>
    <mergeCell ref="D310:E310"/>
    <mergeCell ref="B311:C311"/>
    <mergeCell ref="D311:E311"/>
    <mergeCell ref="B312:C312"/>
    <mergeCell ref="D312:E312"/>
    <mergeCell ref="B334:C334"/>
    <mergeCell ref="D334:E334"/>
    <mergeCell ref="B335:C335"/>
    <mergeCell ref="D335:E335"/>
    <mergeCell ref="B336:C336"/>
    <mergeCell ref="D336:E336"/>
    <mergeCell ref="B337:C337"/>
    <mergeCell ref="D337:E337"/>
    <mergeCell ref="B338:C338"/>
    <mergeCell ref="D338:E338"/>
    <mergeCell ref="C328:I328"/>
    <mergeCell ref="C341:I341"/>
    <mergeCell ref="B342:C342"/>
    <mergeCell ref="D342:E342"/>
    <mergeCell ref="B343:C343"/>
    <mergeCell ref="D321:E321"/>
    <mergeCell ref="B322:C322"/>
    <mergeCell ref="D322:E322"/>
    <mergeCell ref="D472:E472"/>
    <mergeCell ref="D469:E469"/>
    <mergeCell ref="B470:C470"/>
    <mergeCell ref="D470:E470"/>
    <mergeCell ref="D471:E471"/>
    <mergeCell ref="B472:C472"/>
    <mergeCell ref="B475:C475"/>
    <mergeCell ref="C468:H468"/>
    <mergeCell ref="B473:C473"/>
    <mergeCell ref="D473:E473"/>
    <mergeCell ref="B474:C474"/>
    <mergeCell ref="D474:E474"/>
    <mergeCell ref="D475:E475"/>
    <mergeCell ref="B378:C378"/>
    <mergeCell ref="D378:E378"/>
    <mergeCell ref="B379:C379"/>
    <mergeCell ref="D379:E379"/>
    <mergeCell ref="D436:E436"/>
    <mergeCell ref="B437:C437"/>
    <mergeCell ref="D437:E437"/>
    <mergeCell ref="D390:E390"/>
    <mergeCell ref="B410:C410"/>
    <mergeCell ref="B387:C387"/>
    <mergeCell ref="D387:E387"/>
    <mergeCell ref="B448:C448"/>
    <mergeCell ref="D448:E448"/>
    <mergeCell ref="B416:C416"/>
    <mergeCell ref="D416:E416"/>
    <mergeCell ref="B417:C417"/>
    <mergeCell ref="D417:E417"/>
    <mergeCell ref="B418:C418"/>
    <mergeCell ref="D418:E418"/>
    <mergeCell ref="B419:C419"/>
    <mergeCell ref="D419:E419"/>
    <mergeCell ref="C446:H446"/>
    <mergeCell ref="B392:C392"/>
    <mergeCell ref="D392:E392"/>
    <mergeCell ref="B469:C469"/>
    <mergeCell ref="B447:C447"/>
    <mergeCell ref="D447:E447"/>
    <mergeCell ref="B397:C397"/>
    <mergeCell ref="D397:E397"/>
    <mergeCell ref="D398:E398"/>
    <mergeCell ref="D399:E399"/>
    <mergeCell ref="B400:C400"/>
    <mergeCell ref="D400:E400"/>
    <mergeCell ref="D411:E411"/>
    <mergeCell ref="D412:E412"/>
    <mergeCell ref="B413:C413"/>
    <mergeCell ref="D413:E413"/>
    <mergeCell ref="B414:C414"/>
    <mergeCell ref="D414:E414"/>
    <mergeCell ref="B415:C415"/>
    <mergeCell ref="D415:E415"/>
    <mergeCell ref="D410:E410"/>
    <mergeCell ref="B444:C444"/>
    <mergeCell ref="D444:E444"/>
    <mergeCell ref="B442:C442"/>
    <mergeCell ref="D442:E442"/>
    <mergeCell ref="B439:C439"/>
    <mergeCell ref="D439:E439"/>
    <mergeCell ref="B443:C443"/>
    <mergeCell ref="D443:E443"/>
    <mergeCell ref="D403:E403"/>
    <mergeCell ref="B453:C453"/>
    <mergeCell ref="D453:E453"/>
    <mergeCell ref="D510:E510"/>
    <mergeCell ref="B511:C511"/>
    <mergeCell ref="D511:E511"/>
    <mergeCell ref="B504:C504"/>
    <mergeCell ref="D504:E504"/>
    <mergeCell ref="D505:E505"/>
    <mergeCell ref="B506:C506"/>
    <mergeCell ref="D506:E506"/>
    <mergeCell ref="B507:C507"/>
    <mergeCell ref="D507:E507"/>
    <mergeCell ref="B451:C451"/>
    <mergeCell ref="D451:E451"/>
    <mergeCell ref="B452:C452"/>
    <mergeCell ref="D452:E452"/>
    <mergeCell ref="D493:E493"/>
    <mergeCell ref="D494:E494"/>
    <mergeCell ref="B495:C495"/>
    <mergeCell ref="B455:C455"/>
    <mergeCell ref="D455:E455"/>
    <mergeCell ref="C457:H457"/>
    <mergeCell ref="B458:C458"/>
    <mergeCell ref="D458:E458"/>
    <mergeCell ref="B459:C459"/>
    <mergeCell ref="D459:E459"/>
    <mergeCell ref="D460:E460"/>
    <mergeCell ref="B461:C461"/>
    <mergeCell ref="D461:E461"/>
    <mergeCell ref="B462:C462"/>
    <mergeCell ref="D462:E462"/>
    <mergeCell ref="B463:C463"/>
    <mergeCell ref="D463:E463"/>
    <mergeCell ref="B454:C454"/>
    <mergeCell ref="B521:C521"/>
    <mergeCell ref="D521:E521"/>
    <mergeCell ref="B522:C522"/>
    <mergeCell ref="D522:E522"/>
    <mergeCell ref="C524:H524"/>
    <mergeCell ref="B525:C525"/>
    <mergeCell ref="D525:E525"/>
    <mergeCell ref="B526:C526"/>
    <mergeCell ref="D526:E526"/>
    <mergeCell ref="D516:E516"/>
    <mergeCell ref="B517:C517"/>
    <mergeCell ref="D517:E517"/>
    <mergeCell ref="B518:C518"/>
    <mergeCell ref="D518:E518"/>
    <mergeCell ref="B519:C519"/>
    <mergeCell ref="D519:E519"/>
    <mergeCell ref="B520:C520"/>
    <mergeCell ref="D520:E520"/>
    <mergeCell ref="D454:E454"/>
    <mergeCell ref="B486:C486"/>
    <mergeCell ref="D486:E486"/>
    <mergeCell ref="B487:C487"/>
    <mergeCell ref="D487:E487"/>
    <mergeCell ref="B488:C488"/>
    <mergeCell ref="D488:E488"/>
    <mergeCell ref="C491:H491"/>
    <mergeCell ref="B464:C464"/>
    <mergeCell ref="D464:E464"/>
    <mergeCell ref="B465:C465"/>
    <mergeCell ref="B492:C492"/>
    <mergeCell ref="D482:E482"/>
    <mergeCell ref="B483:C483"/>
    <mergeCell ref="D483:E483"/>
    <mergeCell ref="B484:C484"/>
    <mergeCell ref="D484:E484"/>
    <mergeCell ref="B485:C485"/>
    <mergeCell ref="D485:E485"/>
    <mergeCell ref="B514:C514"/>
    <mergeCell ref="B532:C532"/>
    <mergeCell ref="C559:I559"/>
    <mergeCell ref="B554:C554"/>
    <mergeCell ref="D554:E554"/>
    <mergeCell ref="B555:C555"/>
    <mergeCell ref="D555:E555"/>
    <mergeCell ref="D492:E492"/>
    <mergeCell ref="B493:C493"/>
    <mergeCell ref="B497:C497"/>
    <mergeCell ref="D497:E497"/>
    <mergeCell ref="B498:C498"/>
    <mergeCell ref="D498:E498"/>
    <mergeCell ref="B499:C499"/>
    <mergeCell ref="D499:E499"/>
    <mergeCell ref="B500:C500"/>
    <mergeCell ref="D500:E500"/>
    <mergeCell ref="D514:E514"/>
    <mergeCell ref="D532:E532"/>
    <mergeCell ref="B515:C515"/>
    <mergeCell ref="D515:E515"/>
    <mergeCell ref="B508:C508"/>
    <mergeCell ref="D508:E508"/>
    <mergeCell ref="B509:C509"/>
    <mergeCell ref="D509:E509"/>
    <mergeCell ref="B548:C548"/>
    <mergeCell ref="D548:E548"/>
    <mergeCell ref="D551:E551"/>
    <mergeCell ref="B552:C552"/>
    <mergeCell ref="D552:E552"/>
    <mergeCell ref="B553:C553"/>
    <mergeCell ref="D553:E553"/>
    <mergeCell ref="B556:C556"/>
    <mergeCell ref="D556:E556"/>
    <mergeCell ref="C547:I547"/>
    <mergeCell ref="B542:C542"/>
    <mergeCell ref="D542:E542"/>
    <mergeCell ref="D530:E530"/>
    <mergeCell ref="B531:C531"/>
    <mergeCell ref="B561:C561"/>
    <mergeCell ref="D561:E561"/>
    <mergeCell ref="B496:C496"/>
    <mergeCell ref="D496:E496"/>
    <mergeCell ref="C502:H502"/>
    <mergeCell ref="B503:C503"/>
    <mergeCell ref="D503:E503"/>
    <mergeCell ref="C513:H513"/>
    <mergeCell ref="B510:C510"/>
    <mergeCell ref="B533:C533"/>
    <mergeCell ref="D533:E533"/>
    <mergeCell ref="D527:E527"/>
    <mergeCell ref="B528:C528"/>
    <mergeCell ref="D528:E528"/>
    <mergeCell ref="D531:E531"/>
    <mergeCell ref="B560:C560"/>
    <mergeCell ref="D560:E560"/>
    <mergeCell ref="B557:C557"/>
    <mergeCell ref="D557:E557"/>
    <mergeCell ref="B549:C549"/>
    <mergeCell ref="D549:E549"/>
    <mergeCell ref="D550:E550"/>
    <mergeCell ref="D536:E536"/>
    <mergeCell ref="B537:C537"/>
    <mergeCell ref="D537:E537"/>
    <mergeCell ref="D538:E538"/>
    <mergeCell ref="B539:C539"/>
    <mergeCell ref="D539:E539"/>
    <mergeCell ref="B540:C540"/>
    <mergeCell ref="D540:E540"/>
    <mergeCell ref="B541:C541"/>
    <mergeCell ref="D541:E541"/>
    <mergeCell ref="D573:E573"/>
    <mergeCell ref="B574:C574"/>
    <mergeCell ref="D574:E574"/>
    <mergeCell ref="D575:E575"/>
    <mergeCell ref="D576:E576"/>
    <mergeCell ref="B577:C577"/>
    <mergeCell ref="D577:E577"/>
    <mergeCell ref="B565:C565"/>
    <mergeCell ref="D565:E565"/>
    <mergeCell ref="B566:C566"/>
    <mergeCell ref="D566:E566"/>
    <mergeCell ref="B567:C567"/>
    <mergeCell ref="D567:E567"/>
    <mergeCell ref="B568:C568"/>
    <mergeCell ref="D568:E568"/>
    <mergeCell ref="B569:C569"/>
    <mergeCell ref="D569:E569"/>
    <mergeCell ref="C584:I584"/>
    <mergeCell ref="B585:C585"/>
    <mergeCell ref="D585:E585"/>
    <mergeCell ref="B586:C586"/>
    <mergeCell ref="D586:E586"/>
    <mergeCell ref="D587:E587"/>
    <mergeCell ref="D588:E588"/>
    <mergeCell ref="B589:C589"/>
    <mergeCell ref="D589:E589"/>
    <mergeCell ref="B578:C578"/>
    <mergeCell ref="D578:E578"/>
    <mergeCell ref="B579:C579"/>
    <mergeCell ref="D579:E579"/>
    <mergeCell ref="B580:C580"/>
    <mergeCell ref="D580:E580"/>
    <mergeCell ref="B581:C581"/>
    <mergeCell ref="D581:E581"/>
    <mergeCell ref="B582:C582"/>
    <mergeCell ref="D582:E582"/>
    <mergeCell ref="C596:I596"/>
    <mergeCell ref="B597:C597"/>
    <mergeCell ref="D597:E597"/>
    <mergeCell ref="B598:C598"/>
    <mergeCell ref="D598:E598"/>
    <mergeCell ref="D599:E599"/>
    <mergeCell ref="D600:E600"/>
    <mergeCell ref="B601:C601"/>
    <mergeCell ref="D601:E601"/>
    <mergeCell ref="B590:C590"/>
    <mergeCell ref="D590:E590"/>
    <mergeCell ref="B591:C591"/>
    <mergeCell ref="D591:E591"/>
    <mergeCell ref="B592:C592"/>
    <mergeCell ref="D592:E592"/>
    <mergeCell ref="B593:C593"/>
    <mergeCell ref="D593:E593"/>
    <mergeCell ref="B594:C594"/>
    <mergeCell ref="D594:E594"/>
    <mergeCell ref="C608:I608"/>
    <mergeCell ref="B609:C609"/>
    <mergeCell ref="D609:E609"/>
    <mergeCell ref="B610:C610"/>
    <mergeCell ref="D610:E610"/>
    <mergeCell ref="D611:E611"/>
    <mergeCell ref="D612:E612"/>
    <mergeCell ref="B613:C613"/>
    <mergeCell ref="D613:E613"/>
    <mergeCell ref="B602:C602"/>
    <mergeCell ref="D602:E602"/>
    <mergeCell ref="B603:C603"/>
    <mergeCell ref="D603:E603"/>
    <mergeCell ref="B604:C604"/>
    <mergeCell ref="D604:E604"/>
    <mergeCell ref="B605:C605"/>
    <mergeCell ref="D605:E605"/>
    <mergeCell ref="B606:C606"/>
    <mergeCell ref="D606:E606"/>
    <mergeCell ref="C621:I621"/>
    <mergeCell ref="B622:C622"/>
    <mergeCell ref="D622:E622"/>
    <mergeCell ref="B623:C623"/>
    <mergeCell ref="D623:E623"/>
    <mergeCell ref="D624:E624"/>
    <mergeCell ref="D625:E625"/>
    <mergeCell ref="B626:C626"/>
    <mergeCell ref="D626:E626"/>
    <mergeCell ref="B614:C614"/>
    <mergeCell ref="D614:E614"/>
    <mergeCell ref="B615:C615"/>
    <mergeCell ref="D615:E615"/>
    <mergeCell ref="B616:C616"/>
    <mergeCell ref="D616:E616"/>
    <mergeCell ref="B617:C617"/>
    <mergeCell ref="D617:E617"/>
    <mergeCell ref="B618:C618"/>
    <mergeCell ref="D618:E618"/>
    <mergeCell ref="C633:I633"/>
    <mergeCell ref="B634:C634"/>
    <mergeCell ref="D634:E634"/>
    <mergeCell ref="B635:C635"/>
    <mergeCell ref="D635:E635"/>
    <mergeCell ref="D636:E636"/>
    <mergeCell ref="D637:E637"/>
    <mergeCell ref="B638:C638"/>
    <mergeCell ref="D638:E638"/>
    <mergeCell ref="B627:C627"/>
    <mergeCell ref="D627:E627"/>
    <mergeCell ref="B628:C628"/>
    <mergeCell ref="D628:E628"/>
    <mergeCell ref="B629:C629"/>
    <mergeCell ref="D629:E629"/>
    <mergeCell ref="B630:C630"/>
    <mergeCell ref="D630:E630"/>
    <mergeCell ref="B631:C631"/>
    <mergeCell ref="D631:E631"/>
    <mergeCell ref="B679:C679"/>
    <mergeCell ref="D679:E679"/>
    <mergeCell ref="B639:C639"/>
    <mergeCell ref="D639:E639"/>
    <mergeCell ref="B640:C640"/>
    <mergeCell ref="D640:E640"/>
    <mergeCell ref="B641:C641"/>
    <mergeCell ref="D641:E641"/>
    <mergeCell ref="B642:C642"/>
    <mergeCell ref="D642:E642"/>
    <mergeCell ref="B643:C643"/>
    <mergeCell ref="D643:E643"/>
    <mergeCell ref="C669:I669"/>
    <mergeCell ref="B670:C670"/>
    <mergeCell ref="D670:E670"/>
    <mergeCell ref="B671:C671"/>
    <mergeCell ref="D671:E671"/>
    <mergeCell ref="D672:E672"/>
    <mergeCell ref="D673:E673"/>
    <mergeCell ref="B663:C663"/>
    <mergeCell ref="B667:C667"/>
    <mergeCell ref="D667:E667"/>
    <mergeCell ref="C657:I657"/>
    <mergeCell ref="B658:C658"/>
    <mergeCell ref="D658:E658"/>
    <mergeCell ref="B659:C659"/>
    <mergeCell ref="D659:E659"/>
    <mergeCell ref="D660:E660"/>
    <mergeCell ref="D661:E661"/>
    <mergeCell ref="B662:C662"/>
    <mergeCell ref="D662:E662"/>
    <mergeCell ref="B674:C674"/>
    <mergeCell ref="D674:E674"/>
    <mergeCell ref="B675:C675"/>
    <mergeCell ref="D675:E675"/>
    <mergeCell ref="B676:C676"/>
    <mergeCell ref="D676:E676"/>
    <mergeCell ref="B677:C677"/>
    <mergeCell ref="D677:E677"/>
    <mergeCell ref="D911:E911"/>
    <mergeCell ref="D901:E901"/>
    <mergeCell ref="D902:E902"/>
    <mergeCell ref="D905:E905"/>
    <mergeCell ref="D906:E906"/>
    <mergeCell ref="D907:E907"/>
    <mergeCell ref="D908:E908"/>
    <mergeCell ref="D909:E909"/>
    <mergeCell ref="B781:C781"/>
    <mergeCell ref="D781:E781"/>
    <mergeCell ref="B816:C816"/>
    <mergeCell ref="D816:E816"/>
    <mergeCell ref="D817:E817"/>
    <mergeCell ref="D818:E818"/>
    <mergeCell ref="D819:E819"/>
    <mergeCell ref="B823:C823"/>
    <mergeCell ref="D823:E823"/>
    <mergeCell ref="B820:C820"/>
    <mergeCell ref="B879:C879"/>
    <mergeCell ref="D879:E879"/>
    <mergeCell ref="B843:C843"/>
    <mergeCell ref="B826:C826"/>
    <mergeCell ref="D826:E826"/>
    <mergeCell ref="B827:C827"/>
    <mergeCell ref="D827:E827"/>
    <mergeCell ref="B828:C828"/>
    <mergeCell ref="D828:E828"/>
    <mergeCell ref="D829:E829"/>
    <mergeCell ref="D831:E831"/>
    <mergeCell ref="D832:E832"/>
    <mergeCell ref="B833:C833"/>
    <mergeCell ref="D833:E833"/>
    <mergeCell ref="D799:E799"/>
    <mergeCell ref="D820:E820"/>
    <mergeCell ref="D821:E821"/>
    <mergeCell ref="B765:C765"/>
    <mergeCell ref="D765:E765"/>
    <mergeCell ref="C682:I682"/>
    <mergeCell ref="B683:C683"/>
    <mergeCell ref="D683:E683"/>
    <mergeCell ref="B684:C684"/>
    <mergeCell ref="D684:E684"/>
    <mergeCell ref="D685:E685"/>
    <mergeCell ref="D686:E686"/>
    <mergeCell ref="B713:C713"/>
    <mergeCell ref="D713:E713"/>
    <mergeCell ref="B714:C714"/>
    <mergeCell ref="D714:E714"/>
    <mergeCell ref="B706:C706"/>
    <mergeCell ref="D706:E706"/>
    <mergeCell ref="B707:C707"/>
    <mergeCell ref="D720:E720"/>
    <mergeCell ref="D721:E721"/>
    <mergeCell ref="B770:C770"/>
    <mergeCell ref="B771:C771"/>
    <mergeCell ref="D771:E771"/>
    <mergeCell ref="B772:C772"/>
    <mergeCell ref="D882:E882"/>
    <mergeCell ref="D899:E899"/>
    <mergeCell ref="D900:E900"/>
    <mergeCell ref="D903:E903"/>
    <mergeCell ref="D904:E904"/>
    <mergeCell ref="D695:E695"/>
    <mergeCell ref="B696:C696"/>
    <mergeCell ref="D696:E696"/>
    <mergeCell ref="D697:E697"/>
    <mergeCell ref="D698:E698"/>
    <mergeCell ref="B699:C699"/>
    <mergeCell ref="D699:E699"/>
    <mergeCell ref="C694:H694"/>
    <mergeCell ref="D718:E718"/>
    <mergeCell ref="D719:E719"/>
    <mergeCell ref="D703:E703"/>
    <mergeCell ref="D717:E717"/>
    <mergeCell ref="B721:C721"/>
    <mergeCell ref="D772:E772"/>
    <mergeCell ref="D773:E773"/>
    <mergeCell ref="B744:C744"/>
    <mergeCell ref="D744:E744"/>
    <mergeCell ref="B751:C751"/>
    <mergeCell ref="D734:E734"/>
    <mergeCell ref="B728:C728"/>
    <mergeCell ref="D880:E880"/>
    <mergeCell ref="D839:E839"/>
    <mergeCell ref="D840:E840"/>
    <mergeCell ref="D841:E841"/>
    <mergeCell ref="D842:E842"/>
    <mergeCell ref="B844:C844"/>
    <mergeCell ref="D844:E844"/>
    <mergeCell ref="D722:E722"/>
    <mergeCell ref="B723:C723"/>
    <mergeCell ref="D723:E723"/>
    <mergeCell ref="C727:H727"/>
    <mergeCell ref="B740:C740"/>
    <mergeCell ref="D740:E740"/>
    <mergeCell ref="D731:E731"/>
    <mergeCell ref="B732:C732"/>
    <mergeCell ref="D725:E725"/>
    <mergeCell ref="B722:C722"/>
    <mergeCell ref="B724:C724"/>
    <mergeCell ref="D724:E724"/>
    <mergeCell ref="B725:C725"/>
    <mergeCell ref="D741:E741"/>
    <mergeCell ref="D742:E742"/>
    <mergeCell ref="B743:C743"/>
    <mergeCell ref="D743:E743"/>
    <mergeCell ref="B825:C825"/>
    <mergeCell ref="D843:E843"/>
    <mergeCell ref="D825:J825"/>
    <mergeCell ref="B767:C767"/>
    <mergeCell ref="D767:E767"/>
    <mergeCell ref="B745:C745"/>
    <mergeCell ref="D745:E745"/>
    <mergeCell ref="B746:C746"/>
    <mergeCell ref="D746:E746"/>
    <mergeCell ref="B747:C747"/>
    <mergeCell ref="D751:E751"/>
    <mergeCell ref="D752:E752"/>
    <mergeCell ref="D753:E753"/>
    <mergeCell ref="B754:C754"/>
    <mergeCell ref="D754:E754"/>
    <mergeCell ref="B755:C755"/>
    <mergeCell ref="D755:E755"/>
    <mergeCell ref="B756:C756"/>
    <mergeCell ref="D756:E756"/>
    <mergeCell ref="B757:C757"/>
    <mergeCell ref="D757:E757"/>
    <mergeCell ref="B758:C758"/>
    <mergeCell ref="D758:E758"/>
    <mergeCell ref="B762:C762"/>
    <mergeCell ref="D762:E762"/>
    <mergeCell ref="D747:E747"/>
    <mergeCell ref="D763:E763"/>
    <mergeCell ref="C749:H749"/>
    <mergeCell ref="B768:C768"/>
    <mergeCell ref="D768:E768"/>
    <mergeCell ref="B750:C750"/>
    <mergeCell ref="D750:E750"/>
    <mergeCell ref="B89:C89"/>
    <mergeCell ref="D89:E89"/>
    <mergeCell ref="B90:C90"/>
    <mergeCell ref="D90:E90"/>
    <mergeCell ref="B92:C92"/>
    <mergeCell ref="D92:E92"/>
    <mergeCell ref="C4:D4"/>
    <mergeCell ref="C5:D5"/>
    <mergeCell ref="E5:F5"/>
    <mergeCell ref="C72:D72"/>
    <mergeCell ref="E72:F72"/>
    <mergeCell ref="E32:F32"/>
    <mergeCell ref="E41:F41"/>
    <mergeCell ref="E51:F51"/>
    <mergeCell ref="E57:F57"/>
    <mergeCell ref="E67:F67"/>
    <mergeCell ref="B82:C82"/>
    <mergeCell ref="D82:H82"/>
    <mergeCell ref="B83:C83"/>
    <mergeCell ref="D83:E83"/>
    <mergeCell ref="B84:C84"/>
    <mergeCell ref="D84:E84"/>
    <mergeCell ref="D85:E85"/>
    <mergeCell ref="B86:C86"/>
    <mergeCell ref="D86:E86"/>
    <mergeCell ref="D87:E87"/>
    <mergeCell ref="B88:C88"/>
    <mergeCell ref="D88:E88"/>
    <mergeCell ref="E71:F71"/>
    <mergeCell ref="C76:D76"/>
    <mergeCell ref="E76:F76"/>
    <mergeCell ref="C77:D77"/>
    <mergeCell ref="C73:D73"/>
    <mergeCell ref="C75:D75"/>
    <mergeCell ref="C74:D74"/>
    <mergeCell ref="C78:D78"/>
    <mergeCell ref="E78:F78"/>
    <mergeCell ref="D897:E897"/>
    <mergeCell ref="D913:E913"/>
    <mergeCell ref="B914:C914"/>
    <mergeCell ref="B917:C917"/>
    <mergeCell ref="D917:K917"/>
    <mergeCell ref="D918:E918"/>
    <mergeCell ref="D932:E932"/>
    <mergeCell ref="B933:C933"/>
    <mergeCell ref="B936:C936"/>
    <mergeCell ref="D936:H936"/>
    <mergeCell ref="B937:C937"/>
    <mergeCell ref="D937:E937"/>
    <mergeCell ref="B735:C735"/>
    <mergeCell ref="D735:E735"/>
    <mergeCell ref="B687:C687"/>
    <mergeCell ref="D687:E687"/>
    <mergeCell ref="B688:C688"/>
    <mergeCell ref="D688:E688"/>
    <mergeCell ref="B689:C689"/>
    <mergeCell ref="B695:C695"/>
    <mergeCell ref="D663:E663"/>
    <mergeCell ref="B664:C664"/>
    <mergeCell ref="D664:E664"/>
    <mergeCell ref="B665:C665"/>
    <mergeCell ref="D665:E665"/>
    <mergeCell ref="B666:C666"/>
    <mergeCell ref="D666:E666"/>
    <mergeCell ref="D938:E938"/>
    <mergeCell ref="D761:E761"/>
    <mergeCell ref="B761:C761"/>
    <mergeCell ref="C760:H760"/>
    <mergeCell ref="B777:C777"/>
    <mergeCell ref="B780:C780"/>
    <mergeCell ref="D780:E780"/>
    <mergeCell ref="B784:C784"/>
    <mergeCell ref="D766:E766"/>
    <mergeCell ref="C779:H779"/>
    <mergeCell ref="B866:C866"/>
    <mergeCell ref="D866:J866"/>
    <mergeCell ref="D867:E867"/>
    <mergeCell ref="B874:C874"/>
    <mergeCell ref="B876:C876"/>
    <mergeCell ref="D876:I876"/>
    <mergeCell ref="B856:C856"/>
    <mergeCell ref="D856:J856"/>
    <mergeCell ref="B857:C857"/>
    <mergeCell ref="D857:E857"/>
    <mergeCell ref="D804:E804"/>
    <mergeCell ref="D805:E805"/>
    <mergeCell ref="B806:C806"/>
    <mergeCell ref="D806:E806"/>
    <mergeCell ref="B807:C807"/>
    <mergeCell ref="D807:E807"/>
    <mergeCell ref="B808:C808"/>
    <mergeCell ref="D808:E808"/>
    <mergeCell ref="B809:C809"/>
    <mergeCell ref="D809:E809"/>
    <mergeCell ref="B810:C810"/>
    <mergeCell ref="D810:E810"/>
    <mergeCell ref="D948:H948"/>
    <mergeCell ref="B949:C949"/>
    <mergeCell ref="D949:E949"/>
    <mergeCell ref="D950:E950"/>
    <mergeCell ref="B955:C955"/>
    <mergeCell ref="D137:E137"/>
    <mergeCell ref="D151:E151"/>
    <mergeCell ref="D165:E165"/>
    <mergeCell ref="D179:E179"/>
    <mergeCell ref="C645:I645"/>
    <mergeCell ref="B646:C646"/>
    <mergeCell ref="D646:E646"/>
    <mergeCell ref="B647:C647"/>
    <mergeCell ref="D647:E647"/>
    <mergeCell ref="D648:E648"/>
    <mergeCell ref="D649:E649"/>
    <mergeCell ref="B650:C650"/>
    <mergeCell ref="D650:E650"/>
    <mergeCell ref="B651:C651"/>
    <mergeCell ref="D651:E651"/>
    <mergeCell ref="B652:C652"/>
    <mergeCell ref="D652:E652"/>
    <mergeCell ref="B653:C653"/>
    <mergeCell ref="D653:E653"/>
    <mergeCell ref="B654:C654"/>
    <mergeCell ref="D654:E654"/>
    <mergeCell ref="B655:C655"/>
    <mergeCell ref="D655:E655"/>
    <mergeCell ref="D877:E877"/>
    <mergeCell ref="B882:C882"/>
    <mergeCell ref="B896:C896"/>
    <mergeCell ref="D896:K896"/>
    <mergeCell ref="B959:C959"/>
    <mergeCell ref="D959:H959"/>
    <mergeCell ref="B960:C960"/>
    <mergeCell ref="D960:E960"/>
    <mergeCell ref="B962:C962"/>
    <mergeCell ref="D962:E962"/>
    <mergeCell ref="B966:C966"/>
    <mergeCell ref="D967:E967"/>
    <mergeCell ref="D968:E968"/>
    <mergeCell ref="B969:C969"/>
    <mergeCell ref="D969:E969"/>
    <mergeCell ref="D963:E963"/>
    <mergeCell ref="D964:E964"/>
    <mergeCell ref="D965:E965"/>
    <mergeCell ref="D966:E966"/>
    <mergeCell ref="B961:C961"/>
    <mergeCell ref="D961:E961"/>
    <mergeCell ref="B963:C963"/>
    <mergeCell ref="B964:C964"/>
    <mergeCell ref="B965:C965"/>
    <mergeCell ref="B967:C967"/>
    <mergeCell ref="B986:C986"/>
    <mergeCell ref="D986:E986"/>
    <mergeCell ref="B987:C987"/>
    <mergeCell ref="D987:E987"/>
    <mergeCell ref="B988:C988"/>
    <mergeCell ref="D988:E988"/>
    <mergeCell ref="B989:C989"/>
    <mergeCell ref="D989:E989"/>
    <mergeCell ref="B998:C998"/>
    <mergeCell ref="B971:C971"/>
    <mergeCell ref="D971:H971"/>
    <mergeCell ref="B972:C972"/>
    <mergeCell ref="D972:E972"/>
    <mergeCell ref="B973:C973"/>
    <mergeCell ref="D973:E973"/>
    <mergeCell ref="B974:C974"/>
    <mergeCell ref="D974:E974"/>
    <mergeCell ref="B975:C975"/>
    <mergeCell ref="D975:E975"/>
    <mergeCell ref="B976:C976"/>
    <mergeCell ref="D976:E976"/>
    <mergeCell ref="B977:C977"/>
    <mergeCell ref="D977:E977"/>
    <mergeCell ref="B978:C978"/>
    <mergeCell ref="D978:E978"/>
    <mergeCell ref="B979:C979"/>
    <mergeCell ref="D979:E979"/>
    <mergeCell ref="D1016:E1016"/>
    <mergeCell ref="B1017:C1017"/>
    <mergeCell ref="D1017:E1017"/>
    <mergeCell ref="B1019:C1019"/>
    <mergeCell ref="D1019:H1019"/>
    <mergeCell ref="B1000:C1000"/>
    <mergeCell ref="D1000:E1000"/>
    <mergeCell ref="B1001:C1001"/>
    <mergeCell ref="D1001:E1001"/>
    <mergeCell ref="B1002:C1002"/>
    <mergeCell ref="D1002:E1002"/>
    <mergeCell ref="B1003:C1003"/>
    <mergeCell ref="D1003:E1003"/>
    <mergeCell ref="D1004:E1004"/>
    <mergeCell ref="B1005:C1005"/>
    <mergeCell ref="D1005:E1005"/>
    <mergeCell ref="B1007:C1007"/>
    <mergeCell ref="D1007:H1007"/>
    <mergeCell ref="B1008:C1008"/>
    <mergeCell ref="D1008:E1008"/>
    <mergeCell ref="B1009:C1009"/>
    <mergeCell ref="D1009:E1009"/>
    <mergeCell ref="B1010:C1010"/>
    <mergeCell ref="D1010:E1010"/>
    <mergeCell ref="B1011:C1011"/>
    <mergeCell ref="D1011:E1011"/>
    <mergeCell ref="B1012:C1012"/>
    <mergeCell ref="D1012:E1012"/>
    <mergeCell ref="B1013:C1013"/>
    <mergeCell ref="D1013:E1013"/>
    <mergeCell ref="B1014:C1014"/>
    <mergeCell ref="D1014:E1014"/>
    <mergeCell ref="B1032:C1032"/>
    <mergeCell ref="D1032:E1032"/>
    <mergeCell ref="D1027:E1027"/>
    <mergeCell ref="B1020:C1020"/>
    <mergeCell ref="D1020:E1020"/>
    <mergeCell ref="B1021:C1021"/>
    <mergeCell ref="D1021:E1021"/>
    <mergeCell ref="B1022:C1022"/>
    <mergeCell ref="D1022:E1022"/>
    <mergeCell ref="B1025:C1025"/>
    <mergeCell ref="D1025:E1025"/>
    <mergeCell ref="B1026:C1026"/>
    <mergeCell ref="D1026:E1026"/>
    <mergeCell ref="B1028:C1028"/>
    <mergeCell ref="D1028:E1028"/>
    <mergeCell ref="B1029:C1029"/>
    <mergeCell ref="D1029:E1029"/>
    <mergeCell ref="B1030:C1030"/>
    <mergeCell ref="D1030:E1030"/>
    <mergeCell ref="D1031:E1031"/>
    <mergeCell ref="B1015:C1015"/>
    <mergeCell ref="B543:C543"/>
    <mergeCell ref="D543:E543"/>
    <mergeCell ref="B544:C544"/>
    <mergeCell ref="D544:E544"/>
    <mergeCell ref="D1015:E1015"/>
    <mergeCell ref="B990:C990"/>
    <mergeCell ref="D990:E990"/>
    <mergeCell ref="B991:C991"/>
    <mergeCell ref="D991:E991"/>
    <mergeCell ref="D992:E992"/>
    <mergeCell ref="B993:C993"/>
    <mergeCell ref="D993:E993"/>
    <mergeCell ref="B995:C995"/>
    <mergeCell ref="D995:H995"/>
    <mergeCell ref="B996:C996"/>
    <mergeCell ref="D996:E996"/>
    <mergeCell ref="B997:C997"/>
    <mergeCell ref="D997:E997"/>
    <mergeCell ref="B885:C885"/>
    <mergeCell ref="D998:E998"/>
    <mergeCell ref="B999:C999"/>
    <mergeCell ref="D999:E999"/>
    <mergeCell ref="D980:E980"/>
    <mergeCell ref="B981:C981"/>
    <mergeCell ref="D981:E981"/>
    <mergeCell ref="B983:C983"/>
    <mergeCell ref="D983:H983"/>
    <mergeCell ref="B984:C984"/>
    <mergeCell ref="D984:E984"/>
    <mergeCell ref="B985:C985"/>
    <mergeCell ref="D985:E985"/>
    <mergeCell ref="B286:C286"/>
    <mergeCell ref="D286:E286"/>
    <mergeCell ref="C790:H790"/>
    <mergeCell ref="B791:C791"/>
    <mergeCell ref="D791:E791"/>
    <mergeCell ref="B792:C792"/>
    <mergeCell ref="D792:E792"/>
    <mergeCell ref="D796:E796"/>
    <mergeCell ref="B797:C797"/>
    <mergeCell ref="D797:E797"/>
    <mergeCell ref="B798:C798"/>
    <mergeCell ref="D798:E798"/>
    <mergeCell ref="C535:H535"/>
    <mergeCell ref="B536:C536"/>
    <mergeCell ref="B476:C476"/>
    <mergeCell ref="D476:E476"/>
    <mergeCell ref="B477:C477"/>
    <mergeCell ref="D477:E477"/>
    <mergeCell ref="D770:E770"/>
    <mergeCell ref="D702:E702"/>
    <mergeCell ref="B703:C703"/>
    <mergeCell ref="B711:C711"/>
    <mergeCell ref="D711:E711"/>
    <mergeCell ref="D707:E707"/>
    <mergeCell ref="D708:E708"/>
    <mergeCell ref="D709:E709"/>
    <mergeCell ref="B710:C710"/>
    <mergeCell ref="D710:E710"/>
    <mergeCell ref="C705:H705"/>
    <mergeCell ref="B769:C769"/>
    <mergeCell ref="D769:E769"/>
    <mergeCell ref="D764:E764"/>
    <mergeCell ref="B188:C188"/>
    <mergeCell ref="D188:E188"/>
    <mergeCell ref="B189:C189"/>
    <mergeCell ref="D189:E189"/>
    <mergeCell ref="B190:C190"/>
    <mergeCell ref="D190:E190"/>
    <mergeCell ref="B283:C283"/>
    <mergeCell ref="D283:E283"/>
    <mergeCell ref="B284:C284"/>
    <mergeCell ref="D284:E284"/>
    <mergeCell ref="B285:C285"/>
    <mergeCell ref="D285:E285"/>
    <mergeCell ref="B255:C255"/>
    <mergeCell ref="D255:E255"/>
    <mergeCell ref="B256:C256"/>
    <mergeCell ref="D256:E256"/>
    <mergeCell ref="B257:C257"/>
    <mergeCell ref="D257:E257"/>
    <mergeCell ref="B258:C258"/>
    <mergeCell ref="D258:E258"/>
    <mergeCell ref="B259:C259"/>
    <mergeCell ref="D259:E259"/>
    <mergeCell ref="C249:I249"/>
    <mergeCell ref="B250:C250"/>
    <mergeCell ref="D250:E250"/>
    <mergeCell ref="B251:C251"/>
    <mergeCell ref="D251:E251"/>
    <mergeCell ref="D252:E252"/>
    <mergeCell ref="D253:E253"/>
    <mergeCell ref="B254:C254"/>
    <mergeCell ref="D254:E254"/>
    <mergeCell ref="B243:C243"/>
    <mergeCell ref="D91:E91"/>
    <mergeCell ref="C354:I354"/>
    <mergeCell ref="B355:C355"/>
    <mergeCell ref="D355:E355"/>
    <mergeCell ref="B356:C356"/>
    <mergeCell ref="D356:E356"/>
    <mergeCell ref="D357:E357"/>
    <mergeCell ref="D358:E358"/>
    <mergeCell ref="B359:C359"/>
    <mergeCell ref="D359:E359"/>
    <mergeCell ref="B360:C360"/>
    <mergeCell ref="D360:E360"/>
    <mergeCell ref="B361:C361"/>
    <mergeCell ref="D361:E361"/>
    <mergeCell ref="B362:C362"/>
    <mergeCell ref="D362:E362"/>
    <mergeCell ref="B191:C191"/>
    <mergeCell ref="D191:E191"/>
    <mergeCell ref="B192:C192"/>
    <mergeCell ref="D192:E192"/>
    <mergeCell ref="D193:E193"/>
    <mergeCell ref="C181:I181"/>
    <mergeCell ref="B182:C182"/>
    <mergeCell ref="D182:E182"/>
    <mergeCell ref="B183:C183"/>
    <mergeCell ref="D183:E183"/>
    <mergeCell ref="D184:E184"/>
    <mergeCell ref="D185:E185"/>
    <mergeCell ref="B186:C186"/>
    <mergeCell ref="D186:E186"/>
    <mergeCell ref="B187:C187"/>
    <mergeCell ref="D187:E187"/>
    <mergeCell ref="D885:I885"/>
    <mergeCell ref="B886:C886"/>
    <mergeCell ref="D886:E886"/>
    <mergeCell ref="B887:C887"/>
    <mergeCell ref="D887:E887"/>
    <mergeCell ref="B888:C888"/>
    <mergeCell ref="D888:E888"/>
    <mergeCell ref="D889:E889"/>
    <mergeCell ref="D890:E890"/>
    <mergeCell ref="B891:C891"/>
    <mergeCell ref="D891:E891"/>
    <mergeCell ref="B363:C363"/>
    <mergeCell ref="D363:E363"/>
    <mergeCell ref="B364:C364"/>
    <mergeCell ref="D364:E364"/>
    <mergeCell ref="B365:C365"/>
    <mergeCell ref="D365:E365"/>
    <mergeCell ref="C716:H716"/>
    <mergeCell ref="B717:C717"/>
    <mergeCell ref="B718:C718"/>
    <mergeCell ref="B712:C712"/>
    <mergeCell ref="D712:E712"/>
    <mergeCell ref="D700:E700"/>
    <mergeCell ref="B701:C701"/>
    <mergeCell ref="D701:E701"/>
    <mergeCell ref="B702:C702"/>
    <mergeCell ref="B700:C700"/>
    <mergeCell ref="B678:C678"/>
    <mergeCell ref="D678:E678"/>
    <mergeCell ref="D822:E822"/>
    <mergeCell ref="B837:C837"/>
    <mergeCell ref="D837:E837"/>
  </mergeCells>
  <phoneticPr fontId="41" type="noConversion"/>
  <pageMargins left="0.25" right="0.25" top="0.75" bottom="0.75" header="0.3" footer="0.3"/>
  <pageSetup paperSize="9" scale="84" fitToHeight="0" orientation="portrait" r:id="rId1"/>
  <headerFooter>
    <oddHeader>&amp;C&amp;G</oddHeader>
  </headerFooter>
  <rowBreaks count="21" manualBreakCount="21">
    <brk id="43" max="10" man="1"/>
    <brk id="81" max="10" man="1"/>
    <brk id="114" max="10" man="1"/>
    <brk id="151" max="10" man="1"/>
    <brk id="194" max="10" man="1"/>
    <brk id="234" max="10" man="1"/>
    <brk id="313" max="10" man="1"/>
    <brk id="407" max="10" man="1"/>
    <brk id="433" max="10" man="1"/>
    <brk id="478" max="10" man="1"/>
    <brk id="523" max="10" man="1"/>
    <brk id="544" max="10" man="1"/>
    <brk id="570" max="10" man="1"/>
    <brk id="619" max="10" man="1"/>
    <brk id="668" max="10" man="1"/>
    <brk id="680" max="10" man="1"/>
    <brk id="714" max="10" man="1"/>
    <brk id="748" max="10" man="1"/>
    <brk id="811" min="1" max="10" man="1"/>
    <brk id="865" min="1" max="10" man="1"/>
    <brk id="934" min="1" max="10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JB494"/>
  <sheetViews>
    <sheetView showGridLines="0" view="pageBreakPreview" zoomScaleNormal="100" zoomScaleSheetLayoutView="100" workbookViewId="0">
      <selection activeCell="N52" sqref="N52"/>
    </sheetView>
  </sheetViews>
  <sheetFormatPr defaultRowHeight="15" x14ac:dyDescent="0.25"/>
  <cols>
    <col min="5" max="5" width="22.85546875" customWidth="1"/>
    <col min="10" max="10" width="10" customWidth="1"/>
    <col min="11" max="11" width="13.28515625" customWidth="1"/>
  </cols>
  <sheetData>
    <row r="2" spans="2:11" ht="18.75" customHeight="1" x14ac:dyDescent="0.3">
      <c r="B2" s="873" t="s">
        <v>253</v>
      </c>
      <c r="C2" s="873"/>
      <c r="D2" s="873"/>
      <c r="E2" s="873"/>
      <c r="F2" s="873"/>
      <c r="G2" s="873"/>
      <c r="H2" s="873"/>
      <c r="I2" s="873"/>
      <c r="J2" s="873"/>
    </row>
    <row r="3" spans="2:11" ht="15.75" thickBot="1" x14ac:dyDescent="0.3"/>
    <row r="4" spans="2:11" ht="15.75" customHeight="1" thickBot="1" x14ac:dyDescent="0.3">
      <c r="B4" s="577" t="s">
        <v>4</v>
      </c>
      <c r="C4" s="579"/>
      <c r="D4" s="577" t="s">
        <v>121</v>
      </c>
      <c r="E4" s="578"/>
      <c r="F4" s="578"/>
      <c r="G4" s="578"/>
      <c r="H4" s="578"/>
      <c r="I4" s="578"/>
      <c r="J4" s="579"/>
      <c r="K4" s="874"/>
    </row>
    <row r="5" spans="2:11" ht="23.25" thickBot="1" x14ac:dyDescent="0.3">
      <c r="B5" s="867" t="s">
        <v>36</v>
      </c>
      <c r="C5" s="868"/>
      <c r="D5" s="725" t="s">
        <v>37</v>
      </c>
      <c r="E5" s="869"/>
      <c r="F5" s="46" t="s">
        <v>167</v>
      </c>
      <c r="G5" s="46" t="s">
        <v>156</v>
      </c>
      <c r="H5" s="46" t="s">
        <v>172</v>
      </c>
      <c r="I5" s="63" t="s">
        <v>191</v>
      </c>
      <c r="J5" s="47" t="s">
        <v>41</v>
      </c>
      <c r="K5" s="874"/>
    </row>
    <row r="6" spans="2:11" ht="25.5" customHeight="1" x14ac:dyDescent="0.25">
      <c r="B6" s="861" t="s">
        <v>18</v>
      </c>
      <c r="C6" s="862"/>
      <c r="D6" s="870" t="s">
        <v>372</v>
      </c>
      <c r="E6" s="871"/>
      <c r="F6" s="64"/>
      <c r="G6" s="65"/>
      <c r="H6" s="64"/>
      <c r="I6" s="64"/>
      <c r="J6" s="66"/>
      <c r="K6" s="874"/>
    </row>
    <row r="7" spans="2:11" x14ac:dyDescent="0.25">
      <c r="B7" s="657"/>
      <c r="C7" s="658"/>
      <c r="D7" s="704" t="s">
        <v>168</v>
      </c>
      <c r="E7" s="660"/>
      <c r="F7" s="23"/>
      <c r="G7" s="52"/>
      <c r="H7" s="23"/>
      <c r="I7" s="23"/>
      <c r="J7" s="25"/>
      <c r="K7" s="874"/>
    </row>
    <row r="8" spans="2:11" x14ac:dyDescent="0.25">
      <c r="B8" s="54"/>
      <c r="C8" s="55"/>
      <c r="D8" s="872" t="s">
        <v>171</v>
      </c>
      <c r="E8" s="854"/>
      <c r="F8" s="23">
        <v>3</v>
      </c>
      <c r="G8" s="24">
        <f>CENIK_št_1!K42</f>
        <v>29.57</v>
      </c>
      <c r="H8" s="23"/>
      <c r="I8" s="23"/>
      <c r="J8" s="25">
        <f>F8*G8</f>
        <v>88.710000000000008</v>
      </c>
      <c r="K8" s="874"/>
    </row>
    <row r="9" spans="2:11" ht="15" customHeight="1" x14ac:dyDescent="0.25">
      <c r="B9" s="657"/>
      <c r="C9" s="658"/>
      <c r="D9" s="847" t="s">
        <v>169</v>
      </c>
      <c r="E9" s="848"/>
      <c r="F9" s="23"/>
      <c r="G9" s="24"/>
      <c r="H9" s="23"/>
      <c r="I9" s="23"/>
      <c r="J9" s="25"/>
      <c r="K9" s="874"/>
    </row>
    <row r="10" spans="2:11" ht="15" customHeight="1" x14ac:dyDescent="0.25">
      <c r="B10" s="54"/>
      <c r="C10" s="55"/>
      <c r="D10" s="849" t="s">
        <v>12</v>
      </c>
      <c r="E10" s="849"/>
      <c r="F10" s="23">
        <v>1.5</v>
      </c>
      <c r="G10" s="24">
        <f>CENIK_št_1!K60-17.19</f>
        <v>10.36</v>
      </c>
      <c r="H10" s="23"/>
      <c r="I10" s="23"/>
      <c r="J10" s="25">
        <f>F10*G10</f>
        <v>15.54</v>
      </c>
      <c r="K10" s="874"/>
    </row>
    <row r="11" spans="2:11" ht="15" customHeight="1" x14ac:dyDescent="0.25">
      <c r="B11" s="54"/>
      <c r="C11" s="55"/>
      <c r="D11" s="347"/>
      <c r="E11" s="348" t="s">
        <v>368</v>
      </c>
      <c r="F11" s="23">
        <v>1</v>
      </c>
      <c r="G11" s="24"/>
      <c r="H11" s="23"/>
      <c r="I11" s="23"/>
      <c r="J11" s="25">
        <v>8</v>
      </c>
      <c r="K11" s="874"/>
    </row>
    <row r="12" spans="2:11" x14ac:dyDescent="0.25">
      <c r="B12" s="657"/>
      <c r="C12" s="658"/>
      <c r="D12" s="700" t="s">
        <v>170</v>
      </c>
      <c r="E12" s="779"/>
      <c r="F12" s="23"/>
      <c r="G12" s="24"/>
      <c r="H12" s="24"/>
      <c r="I12" s="23"/>
      <c r="J12" s="25"/>
      <c r="K12" s="874"/>
    </row>
    <row r="13" spans="2:11" x14ac:dyDescent="0.25">
      <c r="B13" s="54"/>
      <c r="C13" s="55"/>
      <c r="D13" s="323"/>
      <c r="E13" s="328" t="s">
        <v>197</v>
      </c>
      <c r="F13" s="23"/>
      <c r="G13" s="24"/>
      <c r="H13" s="24">
        <v>3</v>
      </c>
      <c r="I13" s="23">
        <v>1</v>
      </c>
      <c r="J13" s="25">
        <f>H13*I13</f>
        <v>3</v>
      </c>
      <c r="K13" s="874"/>
    </row>
    <row r="14" spans="2:11" x14ac:dyDescent="0.25">
      <c r="B14" s="54"/>
      <c r="C14" s="55"/>
      <c r="D14" s="323"/>
      <c r="E14" s="328" t="s">
        <v>198</v>
      </c>
      <c r="F14" s="23"/>
      <c r="G14" s="24"/>
      <c r="H14" s="24">
        <v>1.5</v>
      </c>
      <c r="I14" s="23">
        <v>4</v>
      </c>
      <c r="J14" s="25">
        <f>H14*I14</f>
        <v>6</v>
      </c>
      <c r="K14" s="874"/>
    </row>
    <row r="15" spans="2:11" ht="15.75" thickBot="1" x14ac:dyDescent="0.3">
      <c r="B15" s="54"/>
      <c r="C15" s="55"/>
      <c r="D15" s="323"/>
      <c r="E15" s="328" t="s">
        <v>199</v>
      </c>
      <c r="F15" s="23"/>
      <c r="G15" s="24"/>
      <c r="H15" s="24"/>
      <c r="I15" s="23"/>
      <c r="J15" s="26">
        <v>2</v>
      </c>
      <c r="K15" s="874"/>
    </row>
    <row r="16" spans="2:11" ht="16.5" hidden="1" customHeight="1" thickTop="1" thickBot="1" x14ac:dyDescent="0.3">
      <c r="B16" s="712"/>
      <c r="C16" s="713"/>
      <c r="D16" s="865" t="s">
        <v>173</v>
      </c>
      <c r="E16" s="866"/>
      <c r="F16" s="28"/>
      <c r="G16" s="52"/>
      <c r="H16" s="28"/>
      <c r="I16" s="28"/>
      <c r="J16" s="29" t="e">
        <f>#REF!*5/100</f>
        <v>#REF!</v>
      </c>
      <c r="K16" s="874"/>
    </row>
    <row r="17" spans="2:11" ht="16.5" thickTop="1" thickBot="1" x14ac:dyDescent="0.3">
      <c r="B17" s="663"/>
      <c r="C17" s="664"/>
      <c r="D17" s="665" t="s">
        <v>192</v>
      </c>
      <c r="E17" s="666"/>
      <c r="F17" s="22"/>
      <c r="G17" s="60"/>
      <c r="H17" s="22"/>
      <c r="I17" s="22">
        <v>1</v>
      </c>
      <c r="J17" s="50">
        <f>J8+J10+J13+J14+J15+J11</f>
        <v>123.25</v>
      </c>
      <c r="K17" s="874"/>
    </row>
    <row r="18" spans="2:11" ht="15.75" thickBot="1" x14ac:dyDescent="0.3">
      <c r="J18" s="53"/>
      <c r="K18" s="874"/>
    </row>
    <row r="19" spans="2:11" ht="15.75" customHeight="1" thickBot="1" x14ac:dyDescent="0.3">
      <c r="B19" s="577" t="s">
        <v>4</v>
      </c>
      <c r="C19" s="579"/>
      <c r="D19" s="577" t="s">
        <v>121</v>
      </c>
      <c r="E19" s="578"/>
      <c r="F19" s="578"/>
      <c r="G19" s="578"/>
      <c r="H19" s="578"/>
      <c r="I19" s="578"/>
      <c r="J19" s="579"/>
      <c r="K19" s="874"/>
    </row>
    <row r="20" spans="2:11" ht="23.25" thickBot="1" x14ac:dyDescent="0.3">
      <c r="B20" s="867" t="s">
        <v>36</v>
      </c>
      <c r="C20" s="868"/>
      <c r="D20" s="725" t="s">
        <v>37</v>
      </c>
      <c r="E20" s="869"/>
      <c r="F20" s="46" t="s">
        <v>167</v>
      </c>
      <c r="G20" s="46" t="s">
        <v>156</v>
      </c>
      <c r="H20" s="46" t="s">
        <v>172</v>
      </c>
      <c r="I20" s="63" t="s">
        <v>191</v>
      </c>
      <c r="J20" s="47" t="s">
        <v>41</v>
      </c>
      <c r="K20" s="874"/>
    </row>
    <row r="21" spans="2:11" ht="39" customHeight="1" x14ac:dyDescent="0.25">
      <c r="B21" s="861" t="s">
        <v>19</v>
      </c>
      <c r="C21" s="862"/>
      <c r="D21" s="870" t="s">
        <v>371</v>
      </c>
      <c r="E21" s="871"/>
      <c r="F21" s="64"/>
      <c r="G21" s="65"/>
      <c r="H21" s="64"/>
      <c r="I21" s="64"/>
      <c r="J21" s="66"/>
      <c r="K21" s="874"/>
    </row>
    <row r="22" spans="2:11" x14ac:dyDescent="0.25">
      <c r="B22" s="657"/>
      <c r="C22" s="658"/>
      <c r="D22" s="704" t="s">
        <v>168</v>
      </c>
      <c r="E22" s="660"/>
      <c r="F22" s="23"/>
      <c r="G22" s="52"/>
      <c r="H22" s="23"/>
      <c r="I22" s="23"/>
      <c r="J22" s="25"/>
      <c r="K22" s="874"/>
    </row>
    <row r="23" spans="2:11" x14ac:dyDescent="0.25">
      <c r="B23" s="54"/>
      <c r="C23" s="55"/>
      <c r="D23" s="872" t="s">
        <v>171</v>
      </c>
      <c r="E23" s="854"/>
      <c r="F23" s="23">
        <v>2</v>
      </c>
      <c r="G23" s="24">
        <f>CENIK_št_1!K42</f>
        <v>29.57</v>
      </c>
      <c r="H23" s="23"/>
      <c r="I23" s="23"/>
      <c r="J23" s="25">
        <f>F23*G23</f>
        <v>59.14</v>
      </c>
      <c r="K23" s="874"/>
    </row>
    <row r="24" spans="2:11" ht="30" customHeight="1" x14ac:dyDescent="0.25">
      <c r="B24" s="54"/>
      <c r="C24" s="55"/>
      <c r="D24" s="841" t="str">
        <f>CENIK_št_1!B41</f>
        <v>Delovodja, Skupinovodja, Preglednik, Dispečer, Voznik, Strojnik</v>
      </c>
      <c r="E24" s="769"/>
      <c r="F24" s="23">
        <v>4</v>
      </c>
      <c r="G24" s="24">
        <f>CENIK_št_1!K41</f>
        <v>21.02</v>
      </c>
      <c r="H24" s="23"/>
      <c r="I24" s="23"/>
      <c r="J24" s="25">
        <f>F24*G24</f>
        <v>84.08</v>
      </c>
      <c r="K24" s="874"/>
    </row>
    <row r="25" spans="2:11" x14ac:dyDescent="0.25">
      <c r="B25" s="54"/>
      <c r="C25" s="55"/>
      <c r="D25" s="841" t="str">
        <f>CENIK_št_1!B40</f>
        <v xml:space="preserve">Komunalni delavec </v>
      </c>
      <c r="E25" s="769"/>
      <c r="F25" s="23">
        <v>16</v>
      </c>
      <c r="G25" s="24">
        <f>CENIK_št_1!K40</f>
        <v>20.75</v>
      </c>
      <c r="H25" s="23"/>
      <c r="I25" s="23"/>
      <c r="J25" s="25">
        <f>F25*G25</f>
        <v>332</v>
      </c>
      <c r="K25" s="874"/>
    </row>
    <row r="26" spans="2:11" ht="15" customHeight="1" x14ac:dyDescent="0.25">
      <c r="B26" s="657"/>
      <c r="C26" s="658"/>
      <c r="D26" s="847" t="s">
        <v>169</v>
      </c>
      <c r="E26" s="848"/>
      <c r="F26" s="23"/>
      <c r="G26" s="24"/>
      <c r="H26" s="23"/>
      <c r="I26" s="23"/>
      <c r="J26" s="25"/>
      <c r="K26" s="874"/>
    </row>
    <row r="27" spans="2:11" ht="15" customHeight="1" x14ac:dyDescent="0.25">
      <c r="B27" s="54"/>
      <c r="C27" s="55"/>
      <c r="D27" s="849" t="str">
        <f>CENIK_št_1!B64</f>
        <v>Tovorno vozilo do 15 t sdm</v>
      </c>
      <c r="E27" s="849"/>
      <c r="F27" s="23">
        <v>4</v>
      </c>
      <c r="G27" s="24">
        <f>CENIK_št_1!K64</f>
        <v>46.53</v>
      </c>
      <c r="H27" s="23"/>
      <c r="I27" s="23"/>
      <c r="J27" s="25">
        <f>F27*G27</f>
        <v>186.12</v>
      </c>
      <c r="K27" s="874"/>
    </row>
    <row r="28" spans="2:11" x14ac:dyDescent="0.25">
      <c r="B28" s="657"/>
      <c r="C28" s="658"/>
      <c r="D28" s="700" t="s">
        <v>170</v>
      </c>
      <c r="E28" s="779"/>
      <c r="F28" s="23"/>
      <c r="G28" s="24"/>
      <c r="H28" s="24"/>
      <c r="I28" s="23"/>
      <c r="J28" s="25"/>
      <c r="K28" s="874"/>
    </row>
    <row r="29" spans="2:11" ht="15.75" thickBot="1" x14ac:dyDescent="0.3">
      <c r="B29" s="54"/>
      <c r="C29" s="55"/>
      <c r="D29" s="323"/>
      <c r="E29" s="328" t="s">
        <v>369</v>
      </c>
      <c r="F29" s="23"/>
      <c r="G29" s="24"/>
      <c r="H29" s="24">
        <v>1.5</v>
      </c>
      <c r="I29" s="23">
        <v>75</v>
      </c>
      <c r="J29" s="25">
        <f>H29*I29</f>
        <v>112.5</v>
      </c>
      <c r="K29" s="874"/>
    </row>
    <row r="30" spans="2:11" ht="16.5" hidden="1" customHeight="1" thickTop="1" thickBot="1" x14ac:dyDescent="0.3">
      <c r="B30" s="712"/>
      <c r="C30" s="713"/>
      <c r="D30" s="865" t="s">
        <v>173</v>
      </c>
      <c r="E30" s="866"/>
      <c r="F30" s="28"/>
      <c r="G30" s="52"/>
      <c r="H30" s="28"/>
      <c r="I30" s="28"/>
      <c r="J30" s="29" t="e">
        <f>#REF!*5/100</f>
        <v>#REF!</v>
      </c>
      <c r="K30" s="874"/>
    </row>
    <row r="31" spans="2:11" ht="15.75" thickBot="1" x14ac:dyDescent="0.3">
      <c r="B31" s="663"/>
      <c r="C31" s="664"/>
      <c r="D31" s="665" t="s">
        <v>373</v>
      </c>
      <c r="E31" s="666"/>
      <c r="F31" s="22">
        <v>300</v>
      </c>
      <c r="G31" s="60"/>
      <c r="H31" s="22"/>
      <c r="I31" s="22"/>
      <c r="J31" s="50">
        <f>(J23+J24+J25+J27+J29)/F31</f>
        <v>2.5794666666666668</v>
      </c>
      <c r="K31" s="874"/>
    </row>
    <row r="32" spans="2:11" ht="15.75" thickBot="1" x14ac:dyDescent="0.3">
      <c r="B32" s="183"/>
      <c r="C32" s="183"/>
      <c r="D32" s="184"/>
      <c r="E32" s="184"/>
      <c r="F32" s="185"/>
      <c r="G32" s="186"/>
      <c r="H32" s="185"/>
      <c r="I32" s="185"/>
      <c r="J32" s="187"/>
      <c r="K32" s="874"/>
    </row>
    <row r="33" spans="2:11" ht="15.75" customHeight="1" thickBot="1" x14ac:dyDescent="0.3">
      <c r="B33" s="577" t="s">
        <v>4</v>
      </c>
      <c r="C33" s="579"/>
      <c r="D33" s="577" t="s">
        <v>121</v>
      </c>
      <c r="E33" s="578"/>
      <c r="F33" s="578"/>
      <c r="G33" s="578"/>
      <c r="H33" s="578"/>
      <c r="I33" s="578"/>
      <c r="J33" s="579"/>
      <c r="K33" s="874"/>
    </row>
    <row r="34" spans="2:11" ht="23.25" thickBot="1" x14ac:dyDescent="0.3">
      <c r="B34" s="867" t="s">
        <v>36</v>
      </c>
      <c r="C34" s="868"/>
      <c r="D34" s="725" t="s">
        <v>37</v>
      </c>
      <c r="E34" s="869"/>
      <c r="F34" s="46" t="s">
        <v>167</v>
      </c>
      <c r="G34" s="46" t="s">
        <v>156</v>
      </c>
      <c r="H34" s="46" t="s">
        <v>172</v>
      </c>
      <c r="I34" s="63" t="s">
        <v>191</v>
      </c>
      <c r="J34" s="47" t="s">
        <v>41</v>
      </c>
      <c r="K34" s="874"/>
    </row>
    <row r="35" spans="2:11" ht="39" customHeight="1" x14ac:dyDescent="0.25">
      <c r="B35" s="861" t="s">
        <v>20</v>
      </c>
      <c r="C35" s="862"/>
      <c r="D35" s="870" t="s">
        <v>377</v>
      </c>
      <c r="E35" s="871"/>
      <c r="F35" s="64"/>
      <c r="G35" s="65"/>
      <c r="H35" s="64"/>
      <c r="I35" s="64"/>
      <c r="J35" s="66"/>
      <c r="K35" s="874"/>
    </row>
    <row r="36" spans="2:11" x14ac:dyDescent="0.25">
      <c r="B36" s="657"/>
      <c r="C36" s="658"/>
      <c r="D36" s="704" t="s">
        <v>168</v>
      </c>
      <c r="E36" s="660"/>
      <c r="F36" s="23"/>
      <c r="G36" s="52"/>
      <c r="H36" s="23"/>
      <c r="I36" s="23"/>
      <c r="J36" s="25"/>
      <c r="K36" s="874"/>
    </row>
    <row r="37" spans="2:11" x14ac:dyDescent="0.25">
      <c r="B37" s="54"/>
      <c r="C37" s="55"/>
      <c r="D37" s="872" t="s">
        <v>171</v>
      </c>
      <c r="E37" s="854"/>
      <c r="F37" s="23">
        <v>4</v>
      </c>
      <c r="G37" s="24">
        <f>CENIK_št_1!K42</f>
        <v>29.57</v>
      </c>
      <c r="H37" s="23"/>
      <c r="I37" s="23"/>
      <c r="J37" s="25">
        <f>F37*G37</f>
        <v>118.28</v>
      </c>
      <c r="K37" s="874"/>
    </row>
    <row r="38" spans="2:11" ht="30" customHeight="1" x14ac:dyDescent="0.25">
      <c r="B38" s="54"/>
      <c r="C38" s="55"/>
      <c r="D38" s="841" t="s">
        <v>342</v>
      </c>
      <c r="E38" s="769"/>
      <c r="F38" s="23">
        <v>8</v>
      </c>
      <c r="G38" s="24">
        <f>CENIK_št_1!K41</f>
        <v>21.02</v>
      </c>
      <c r="H38" s="23"/>
      <c r="I38" s="23"/>
      <c r="J38" s="25">
        <f>F38*G38</f>
        <v>168.16</v>
      </c>
      <c r="K38" s="874"/>
    </row>
    <row r="39" spans="2:11" x14ac:dyDescent="0.25">
      <c r="B39" s="54"/>
      <c r="C39" s="55"/>
      <c r="D39" s="841" t="s">
        <v>325</v>
      </c>
      <c r="E39" s="769"/>
      <c r="F39" s="23">
        <v>12</v>
      </c>
      <c r="G39" s="24">
        <f>CENIK_št_1!K40</f>
        <v>20.75</v>
      </c>
      <c r="H39" s="23"/>
      <c r="I39" s="23"/>
      <c r="J39" s="25">
        <f>F39*G39</f>
        <v>249</v>
      </c>
      <c r="K39" s="874"/>
    </row>
    <row r="40" spans="2:11" ht="15" customHeight="1" x14ac:dyDescent="0.25">
      <c r="B40" s="657"/>
      <c r="C40" s="658"/>
      <c r="D40" s="847" t="s">
        <v>169</v>
      </c>
      <c r="E40" s="848"/>
      <c r="F40" s="23"/>
      <c r="G40" s="24"/>
      <c r="H40" s="23"/>
      <c r="I40" s="23"/>
      <c r="J40" s="25"/>
      <c r="K40" s="874"/>
    </row>
    <row r="41" spans="2:11" ht="15" customHeight="1" x14ac:dyDescent="0.25">
      <c r="B41" s="54"/>
      <c r="C41" s="55"/>
      <c r="D41" s="849" t="str">
        <f>CENIK_št_1!B63</f>
        <v>Tovorno vozilo do 3,5 t sdm</v>
      </c>
      <c r="E41" s="849"/>
      <c r="F41" s="23">
        <v>4</v>
      </c>
      <c r="G41" s="24">
        <f>CENIK_št_1!K63</f>
        <v>33.81</v>
      </c>
      <c r="H41" s="23"/>
      <c r="I41" s="23"/>
      <c r="J41" s="25">
        <f>F41*G41</f>
        <v>135.24</v>
      </c>
      <c r="K41" s="874"/>
    </row>
    <row r="42" spans="2:11" x14ac:dyDescent="0.25">
      <c r="B42" s="657"/>
      <c r="C42" s="658"/>
      <c r="D42" s="700" t="s">
        <v>170</v>
      </c>
      <c r="E42" s="779"/>
      <c r="F42" s="23"/>
      <c r="G42" s="24"/>
      <c r="H42" s="24"/>
      <c r="I42" s="23"/>
      <c r="J42" s="25"/>
      <c r="K42" s="874"/>
    </row>
    <row r="43" spans="2:11" ht="15.75" thickBot="1" x14ac:dyDescent="0.3">
      <c r="B43" s="54"/>
      <c r="C43" s="55"/>
      <c r="D43" s="323"/>
      <c r="E43" s="328" t="s">
        <v>370</v>
      </c>
      <c r="F43" s="23"/>
      <c r="G43" s="24"/>
      <c r="H43" s="24">
        <v>1.5</v>
      </c>
      <c r="I43" s="23">
        <v>50</v>
      </c>
      <c r="J43" s="25">
        <f>H43*I43</f>
        <v>75</v>
      </c>
      <c r="K43" s="874"/>
    </row>
    <row r="44" spans="2:11" ht="15.75" hidden="1" customHeight="1" thickBot="1" x14ac:dyDescent="0.3">
      <c r="B44" s="712"/>
      <c r="C44" s="713"/>
      <c r="D44" s="865" t="s">
        <v>173</v>
      </c>
      <c r="E44" s="866"/>
      <c r="F44" s="28"/>
      <c r="G44" s="52"/>
      <c r="H44" s="28"/>
      <c r="I44" s="28"/>
      <c r="J44" s="29" t="e">
        <f>#REF!*5/100</f>
        <v>#REF!</v>
      </c>
      <c r="K44" s="874"/>
    </row>
    <row r="45" spans="2:11" ht="15.75" thickBot="1" x14ac:dyDescent="0.3">
      <c r="B45" s="663"/>
      <c r="C45" s="664"/>
      <c r="D45" s="665" t="s">
        <v>367</v>
      </c>
      <c r="E45" s="666"/>
      <c r="F45" s="22">
        <v>300</v>
      </c>
      <c r="G45" s="60"/>
      <c r="H45" s="22"/>
      <c r="I45" s="22">
        <v>1</v>
      </c>
      <c r="J45" s="50">
        <f>(J37+J38+J39+J41+J43)/F45</f>
        <v>2.4856000000000003</v>
      </c>
      <c r="K45" s="874"/>
    </row>
    <row r="46" spans="2:11" x14ac:dyDescent="0.25">
      <c r="J46" s="53"/>
      <c r="K46" s="874"/>
    </row>
    <row r="47" spans="2:11" ht="15.75" thickBot="1" x14ac:dyDescent="0.3">
      <c r="B47" s="57"/>
      <c r="C47" s="57"/>
      <c r="D47" s="57"/>
      <c r="E47" s="57"/>
      <c r="F47" s="57"/>
      <c r="G47" s="57"/>
      <c r="H47" s="57"/>
      <c r="I47" s="57"/>
      <c r="J47" s="57"/>
      <c r="K47" s="874"/>
    </row>
    <row r="48" spans="2:11" ht="15" customHeight="1" thickTop="1" x14ac:dyDescent="0.25">
      <c r="K48" s="874"/>
    </row>
    <row r="49" spans="2:11" ht="15.75" thickBot="1" x14ac:dyDescent="0.3"/>
    <row r="50" spans="2:11" ht="15.75" customHeight="1" thickBot="1" x14ac:dyDescent="0.3">
      <c r="B50" s="577" t="s">
        <v>5</v>
      </c>
      <c r="C50" s="579"/>
      <c r="D50" s="577" t="s">
        <v>125</v>
      </c>
      <c r="E50" s="578"/>
      <c r="F50" s="578"/>
      <c r="G50" s="578"/>
      <c r="H50" s="578"/>
      <c r="I50" s="578"/>
      <c r="J50" s="579"/>
    </row>
    <row r="51" spans="2:11" ht="23.25" thickBot="1" x14ac:dyDescent="0.3">
      <c r="B51" s="649" t="s">
        <v>36</v>
      </c>
      <c r="C51" s="650"/>
      <c r="D51" s="651" t="s">
        <v>37</v>
      </c>
      <c r="E51" s="852"/>
      <c r="F51" s="48" t="s">
        <v>167</v>
      </c>
      <c r="G51" s="48" t="s">
        <v>156</v>
      </c>
      <c r="H51" s="48" t="s">
        <v>172</v>
      </c>
      <c r="I51" s="61" t="s">
        <v>183</v>
      </c>
      <c r="J51" s="49" t="s">
        <v>41</v>
      </c>
    </row>
    <row r="52" spans="2:11" ht="48" customHeight="1" x14ac:dyDescent="0.25">
      <c r="B52" s="861" t="s">
        <v>114</v>
      </c>
      <c r="C52" s="862"/>
      <c r="D52" s="835" t="s">
        <v>380</v>
      </c>
      <c r="E52" s="836"/>
      <c r="F52" s="67"/>
      <c r="G52" s="67"/>
      <c r="H52" s="67"/>
      <c r="I52" s="67"/>
      <c r="J52" s="68"/>
      <c r="K52" s="62"/>
    </row>
    <row r="53" spans="2:11" ht="15" customHeight="1" x14ac:dyDescent="0.25">
      <c r="B53" s="657"/>
      <c r="C53" s="658"/>
      <c r="D53" s="704" t="s">
        <v>168</v>
      </c>
      <c r="E53" s="660"/>
      <c r="F53" s="23"/>
      <c r="G53" s="52"/>
      <c r="H53" s="23"/>
      <c r="I53" s="23"/>
      <c r="J53" s="25"/>
    </row>
    <row r="54" spans="2:11" ht="33.75" customHeight="1" x14ac:dyDescent="0.25">
      <c r="B54" s="54"/>
      <c r="C54" s="55"/>
      <c r="D54" s="863" t="str">
        <f>CENIK_št_1!B42</f>
        <v>Strokovna dela (nadzor, vodenje, pregledi objektov, izdelava poročil, izvedbeni načrti)</v>
      </c>
      <c r="E54" s="864"/>
      <c r="F54" s="329" t="s">
        <v>265</v>
      </c>
      <c r="G54" s="24">
        <f>CENIK_št_1!K42</f>
        <v>29.57</v>
      </c>
      <c r="H54" s="23"/>
      <c r="I54" s="23"/>
      <c r="J54" s="25">
        <f>F54*G54</f>
        <v>59.14</v>
      </c>
    </row>
    <row r="55" spans="2:11" ht="34.5" customHeight="1" x14ac:dyDescent="0.25">
      <c r="B55" s="54"/>
      <c r="C55" s="55"/>
      <c r="D55" s="839" t="str">
        <f>CENIK_št_1!B41</f>
        <v>Delovodja, Skupinovodja, Preglednik, Dispečer, Voznik, Strojnik</v>
      </c>
      <c r="E55" s="840"/>
      <c r="F55" s="23">
        <v>3</v>
      </c>
      <c r="G55" s="24">
        <f>CENIK_št_1!K41</f>
        <v>21.02</v>
      </c>
      <c r="H55" s="23"/>
      <c r="I55" s="23"/>
      <c r="J55" s="25">
        <f>F55*G55</f>
        <v>63.06</v>
      </c>
    </row>
    <row r="56" spans="2:11" x14ac:dyDescent="0.25">
      <c r="B56" s="54"/>
      <c r="C56" s="55"/>
      <c r="D56" s="357"/>
      <c r="E56" s="358" t="str">
        <f>CENIK_št_1!B40</f>
        <v xml:space="preserve">Komunalni delavec </v>
      </c>
      <c r="F56" s="23">
        <v>8</v>
      </c>
      <c r="G56" s="24">
        <f>CENIK_št_1!K40</f>
        <v>20.75</v>
      </c>
      <c r="H56" s="23"/>
      <c r="I56" s="23"/>
      <c r="J56" s="25">
        <f>F56*G56</f>
        <v>166</v>
      </c>
    </row>
    <row r="57" spans="2:11" x14ac:dyDescent="0.25">
      <c r="B57" s="657"/>
      <c r="C57" s="658"/>
      <c r="D57" s="847" t="s">
        <v>179</v>
      </c>
      <c r="E57" s="848"/>
      <c r="F57" s="23"/>
      <c r="G57" s="24"/>
      <c r="H57" s="23"/>
      <c r="I57" s="23"/>
      <c r="J57" s="29"/>
    </row>
    <row r="58" spans="2:11" x14ac:dyDescent="0.25">
      <c r="B58" s="54"/>
      <c r="C58" s="55"/>
      <c r="D58" s="849" t="s">
        <v>379</v>
      </c>
      <c r="E58" s="849"/>
      <c r="F58" s="23">
        <v>8</v>
      </c>
      <c r="G58" s="24">
        <v>39.9</v>
      </c>
      <c r="H58" s="23"/>
      <c r="I58" s="356"/>
      <c r="J58" s="25">
        <f>F58*G58</f>
        <v>319.2</v>
      </c>
    </row>
    <row r="59" spans="2:11" ht="15.75" thickBot="1" x14ac:dyDescent="0.3">
      <c r="B59" s="350"/>
      <c r="C59" s="351"/>
      <c r="D59" s="352"/>
      <c r="E59" s="353" t="str">
        <f>CENIK_št_1!B129</f>
        <v>Vibracisjki nabijalec</v>
      </c>
      <c r="F59" s="28">
        <v>4</v>
      </c>
      <c r="G59" s="354">
        <f>CENIK_št_1!K129</f>
        <v>15.6555</v>
      </c>
      <c r="H59" s="28"/>
      <c r="I59" s="28"/>
      <c r="J59" s="25">
        <f>F59*G59</f>
        <v>62.622</v>
      </c>
    </row>
    <row r="60" spans="2:11" ht="15.75" thickBot="1" x14ac:dyDescent="0.3">
      <c r="B60" s="663"/>
      <c r="C60" s="664"/>
      <c r="D60" s="665" t="s">
        <v>186</v>
      </c>
      <c r="E60" s="666"/>
      <c r="F60" s="22">
        <v>4</v>
      </c>
      <c r="G60" s="60"/>
      <c r="H60" s="22"/>
      <c r="I60" s="22">
        <v>1</v>
      </c>
      <c r="J60" s="50">
        <f>SUM(J54:J59)/F60</f>
        <v>167.50549999999998</v>
      </c>
    </row>
    <row r="61" spans="2:11" ht="15.75" thickBot="1" x14ac:dyDescent="0.3">
      <c r="B61" s="69"/>
      <c r="C61" s="69"/>
      <c r="D61" s="69"/>
      <c r="E61" s="69"/>
      <c r="F61" s="69"/>
      <c r="G61" s="69"/>
      <c r="H61" s="69"/>
      <c r="I61" s="69"/>
      <c r="J61" s="69"/>
    </row>
    <row r="62" spans="2:11" ht="15.75" customHeight="1" thickBot="1" x14ac:dyDescent="0.3">
      <c r="B62" s="577" t="s">
        <v>5</v>
      </c>
      <c r="C62" s="579"/>
      <c r="D62" s="577" t="s">
        <v>125</v>
      </c>
      <c r="E62" s="578"/>
      <c r="F62" s="578"/>
      <c r="G62" s="578"/>
      <c r="H62" s="578"/>
      <c r="I62" s="578"/>
      <c r="J62" s="579"/>
    </row>
    <row r="63" spans="2:11" ht="23.25" thickBot="1" x14ac:dyDescent="0.3">
      <c r="B63" s="649" t="s">
        <v>36</v>
      </c>
      <c r="C63" s="650"/>
      <c r="D63" s="651" t="s">
        <v>37</v>
      </c>
      <c r="E63" s="852"/>
      <c r="F63" s="48" t="s">
        <v>167</v>
      </c>
      <c r="G63" s="48" t="s">
        <v>156</v>
      </c>
      <c r="H63" s="48" t="s">
        <v>172</v>
      </c>
      <c r="I63" s="61" t="s">
        <v>183</v>
      </c>
      <c r="J63" s="49" t="s">
        <v>41</v>
      </c>
    </row>
    <row r="64" spans="2:11" ht="65.25" customHeight="1" x14ac:dyDescent="0.25">
      <c r="B64" s="861" t="s">
        <v>115</v>
      </c>
      <c r="C64" s="862"/>
      <c r="D64" s="835" t="s">
        <v>381</v>
      </c>
      <c r="E64" s="836"/>
      <c r="F64" s="67"/>
      <c r="G64" s="67"/>
      <c r="H64" s="67"/>
      <c r="I64" s="67"/>
      <c r="J64" s="68"/>
      <c r="K64" s="62"/>
    </row>
    <row r="65" spans="2:10" ht="15" customHeight="1" x14ac:dyDescent="0.25">
      <c r="B65" s="657"/>
      <c r="C65" s="658"/>
      <c r="D65" s="704" t="s">
        <v>168</v>
      </c>
      <c r="E65" s="660"/>
      <c r="F65" s="23"/>
      <c r="G65" s="52"/>
      <c r="H65" s="23"/>
      <c r="I65" s="23"/>
      <c r="J65" s="25"/>
    </row>
    <row r="66" spans="2:10" ht="33.75" customHeight="1" x14ac:dyDescent="0.25">
      <c r="B66" s="54"/>
      <c r="C66" s="55"/>
      <c r="D66" s="863" t="s">
        <v>338</v>
      </c>
      <c r="E66" s="864"/>
      <c r="F66" s="329" t="s">
        <v>265</v>
      </c>
      <c r="G66" s="24">
        <f>CENIK_št_1!K42</f>
        <v>29.57</v>
      </c>
      <c r="H66" s="23"/>
      <c r="I66" s="23"/>
      <c r="J66" s="25">
        <f>F66*G66</f>
        <v>59.14</v>
      </c>
    </row>
    <row r="67" spans="2:10" ht="34.5" customHeight="1" x14ac:dyDescent="0.25">
      <c r="B67" s="54"/>
      <c r="C67" s="55"/>
      <c r="D67" s="839" t="s">
        <v>342</v>
      </c>
      <c r="E67" s="840"/>
      <c r="F67" s="23">
        <v>3</v>
      </c>
      <c r="G67" s="24">
        <f>CENIK_št_1!K41</f>
        <v>21.02</v>
      </c>
      <c r="H67" s="23"/>
      <c r="I67" s="23"/>
      <c r="J67" s="25">
        <f>F67*G67</f>
        <v>63.06</v>
      </c>
    </row>
    <row r="68" spans="2:10" x14ac:dyDescent="0.25">
      <c r="B68" s="54"/>
      <c r="C68" s="55"/>
      <c r="D68" s="768" t="s">
        <v>325</v>
      </c>
      <c r="E68" s="769"/>
      <c r="F68" s="23">
        <v>8</v>
      </c>
      <c r="G68" s="24">
        <f>CENIK_št_1!K40</f>
        <v>20.75</v>
      </c>
      <c r="H68" s="23"/>
      <c r="I68" s="23"/>
      <c r="J68" s="25">
        <f>F68*G68</f>
        <v>166</v>
      </c>
    </row>
    <row r="69" spans="2:10" ht="15" customHeight="1" x14ac:dyDescent="0.25">
      <c r="B69" s="657"/>
      <c r="C69" s="658"/>
      <c r="D69" s="847" t="s">
        <v>179</v>
      </c>
      <c r="E69" s="848"/>
      <c r="F69" s="23"/>
      <c r="G69" s="24"/>
      <c r="H69" s="23"/>
      <c r="I69" s="23"/>
      <c r="J69" s="29"/>
    </row>
    <row r="70" spans="2:10" x14ac:dyDescent="0.25">
      <c r="B70" s="54"/>
      <c r="C70" s="55"/>
      <c r="D70" s="849" t="s">
        <v>379</v>
      </c>
      <c r="E70" s="849"/>
      <c r="F70" s="23">
        <v>8</v>
      </c>
      <c r="G70" s="24">
        <v>39.9</v>
      </c>
      <c r="H70" s="23"/>
      <c r="I70" s="356"/>
      <c r="J70" s="25">
        <f>F70*G70</f>
        <v>319.2</v>
      </c>
    </row>
    <row r="71" spans="2:10" ht="18" customHeight="1" x14ac:dyDescent="0.25">
      <c r="B71" s="58"/>
      <c r="C71" s="59"/>
      <c r="D71" s="860" t="str">
        <f>CENIK_št_1!B64</f>
        <v>Tovorno vozilo do 15 t sdm</v>
      </c>
      <c r="E71" s="844"/>
      <c r="F71" s="27">
        <v>8</v>
      </c>
      <c r="G71" s="360">
        <f>CENIK_št_1!K64</f>
        <v>46.53</v>
      </c>
      <c r="H71" s="27"/>
      <c r="I71" s="27"/>
      <c r="J71" s="25">
        <f>F71*G71</f>
        <v>372.24</v>
      </c>
    </row>
    <row r="72" spans="2:10" ht="15.75" customHeight="1" thickBot="1" x14ac:dyDescent="0.3">
      <c r="B72" s="350"/>
      <c r="C72" s="351"/>
      <c r="D72" s="845" t="str">
        <f>CENIK_št_1!B129</f>
        <v>Vibracisjki nabijalec</v>
      </c>
      <c r="E72" s="846"/>
      <c r="F72" s="28">
        <v>4</v>
      </c>
      <c r="G72" s="354">
        <f>CENIK_št_1!K129</f>
        <v>15.6555</v>
      </c>
      <c r="H72" s="28"/>
      <c r="I72" s="28"/>
      <c r="J72" s="25">
        <f>F72*G72</f>
        <v>62.622</v>
      </c>
    </row>
    <row r="73" spans="2:10" ht="15.75" thickBot="1" x14ac:dyDescent="0.3">
      <c r="B73" s="663"/>
      <c r="C73" s="664"/>
      <c r="D73" s="665" t="s">
        <v>186</v>
      </c>
      <c r="E73" s="666"/>
      <c r="F73" s="22">
        <v>4</v>
      </c>
      <c r="G73" s="60" t="s">
        <v>213</v>
      </c>
      <c r="H73" s="22"/>
      <c r="I73" s="22">
        <v>1</v>
      </c>
      <c r="J73" s="50">
        <f>SUM(J66:J72)/F73</f>
        <v>260.56549999999999</v>
      </c>
    </row>
    <row r="74" spans="2:10" ht="15.75" thickBot="1" x14ac:dyDescent="0.3"/>
    <row r="75" spans="2:10" ht="15.75" thickBot="1" x14ac:dyDescent="0.3">
      <c r="B75" s="577" t="s">
        <v>5</v>
      </c>
      <c r="C75" s="579"/>
      <c r="D75" s="577" t="s">
        <v>125</v>
      </c>
      <c r="E75" s="578"/>
      <c r="F75" s="578"/>
      <c r="G75" s="578"/>
      <c r="H75" s="578"/>
      <c r="I75" s="578"/>
      <c r="J75" s="579"/>
    </row>
    <row r="76" spans="2:10" ht="23.25" thickBot="1" x14ac:dyDescent="0.3">
      <c r="B76" s="649" t="s">
        <v>36</v>
      </c>
      <c r="C76" s="650"/>
      <c r="D76" s="651" t="s">
        <v>37</v>
      </c>
      <c r="E76" s="852"/>
      <c r="F76" s="48" t="s">
        <v>167</v>
      </c>
      <c r="G76" s="48" t="s">
        <v>156</v>
      </c>
      <c r="H76" s="48" t="s">
        <v>172</v>
      </c>
      <c r="I76" s="61" t="s">
        <v>183</v>
      </c>
      <c r="J76" s="49" t="s">
        <v>41</v>
      </c>
    </row>
    <row r="77" spans="2:10" ht="48.75" customHeight="1" x14ac:dyDescent="0.25">
      <c r="B77" s="861" t="s">
        <v>116</v>
      </c>
      <c r="C77" s="862"/>
      <c r="D77" s="835" t="s">
        <v>385</v>
      </c>
      <c r="E77" s="836"/>
      <c r="F77" s="67"/>
      <c r="G77" s="67"/>
      <c r="H77" s="67"/>
      <c r="I77" s="67"/>
      <c r="J77" s="68"/>
    </row>
    <row r="78" spans="2:10" x14ac:dyDescent="0.25">
      <c r="B78" s="657"/>
      <c r="C78" s="658"/>
      <c r="D78" s="704" t="s">
        <v>168</v>
      </c>
      <c r="E78" s="660"/>
      <c r="F78" s="23"/>
      <c r="G78" s="52"/>
      <c r="H78" s="23"/>
      <c r="I78" s="23"/>
      <c r="J78" s="25"/>
    </row>
    <row r="79" spans="2:10" ht="24" customHeight="1" x14ac:dyDescent="0.25">
      <c r="B79" s="54"/>
      <c r="C79" s="55"/>
      <c r="D79" s="863" t="s">
        <v>338</v>
      </c>
      <c r="E79" s="864"/>
      <c r="F79" s="329" t="s">
        <v>382</v>
      </c>
      <c r="G79" s="24">
        <f>CENIK_št_1!K63</f>
        <v>33.81</v>
      </c>
      <c r="H79" s="23"/>
      <c r="I79" s="23"/>
      <c r="J79" s="25">
        <f>F79*G79</f>
        <v>16.905000000000001</v>
      </c>
    </row>
    <row r="80" spans="2:10" ht="27" customHeight="1" x14ac:dyDescent="0.25">
      <c r="B80" s="54"/>
      <c r="C80" s="55"/>
      <c r="D80" s="839" t="s">
        <v>342</v>
      </c>
      <c r="E80" s="840"/>
      <c r="F80" s="23">
        <v>1</v>
      </c>
      <c r="G80" s="24">
        <f>CENIK_št_1!K62</f>
        <v>35.020000000000003</v>
      </c>
      <c r="H80" s="23"/>
      <c r="I80" s="23"/>
      <c r="J80" s="25">
        <f>F80*G80</f>
        <v>35.020000000000003</v>
      </c>
    </row>
    <row r="81" spans="1:11" x14ac:dyDescent="0.25">
      <c r="B81" s="54"/>
      <c r="C81" s="55"/>
      <c r="D81" s="768" t="s">
        <v>325</v>
      </c>
      <c r="E81" s="769"/>
      <c r="F81" s="23">
        <v>8</v>
      </c>
      <c r="G81" s="24">
        <f>CENIK_št_1!K60</f>
        <v>27.55</v>
      </c>
      <c r="H81" s="23"/>
      <c r="I81" s="23"/>
      <c r="J81" s="25">
        <f>F81*G81</f>
        <v>220.4</v>
      </c>
    </row>
    <row r="82" spans="1:11" x14ac:dyDescent="0.25">
      <c r="B82" s="657"/>
      <c r="C82" s="658"/>
      <c r="D82" s="847" t="s">
        <v>179</v>
      </c>
      <c r="E82" s="848"/>
      <c r="F82" s="23"/>
      <c r="G82" s="24"/>
      <c r="H82" s="23"/>
      <c r="I82" s="23"/>
      <c r="J82" s="29"/>
    </row>
    <row r="83" spans="1:11" x14ac:dyDescent="0.25">
      <c r="B83" s="54"/>
      <c r="C83" s="55"/>
      <c r="D83" s="849" t="s">
        <v>379</v>
      </c>
      <c r="E83" s="849"/>
      <c r="F83" s="23">
        <v>8</v>
      </c>
      <c r="G83" s="24">
        <v>39.9</v>
      </c>
      <c r="H83" s="23"/>
      <c r="I83" s="356"/>
      <c r="J83" s="25">
        <f>F83*G83</f>
        <v>319.2</v>
      </c>
    </row>
    <row r="84" spans="1:11" x14ac:dyDescent="0.25">
      <c r="B84" s="58"/>
      <c r="C84" s="59"/>
      <c r="D84" s="860" t="str">
        <f>D71</f>
        <v>Tovorno vozilo do 15 t sdm</v>
      </c>
      <c r="E84" s="844"/>
      <c r="F84" s="27">
        <v>4</v>
      </c>
      <c r="G84" s="360">
        <f>CENIK_št_1!K86</f>
        <v>45.26</v>
      </c>
      <c r="H84" s="27"/>
      <c r="I84" s="27"/>
      <c r="J84" s="25">
        <f>F84*G84</f>
        <v>181.04</v>
      </c>
    </row>
    <row r="85" spans="1:11" ht="15.75" thickBot="1" x14ac:dyDescent="0.3">
      <c r="B85" s="350"/>
      <c r="C85" s="351"/>
      <c r="D85" s="845" t="str">
        <f>CENIK_št_1!B87</f>
        <v>Vibracijski valjar 1,5 t</v>
      </c>
      <c r="E85" s="846"/>
      <c r="F85" s="28">
        <v>4</v>
      </c>
      <c r="G85" s="354">
        <f>CENIK_št_1!K89</f>
        <v>34.36</v>
      </c>
      <c r="H85" s="28"/>
      <c r="I85" s="28"/>
      <c r="J85" s="25">
        <f>F85*G85</f>
        <v>137.44</v>
      </c>
    </row>
    <row r="86" spans="1:11" ht="15.75" thickBot="1" x14ac:dyDescent="0.3">
      <c r="B86" s="663"/>
      <c r="C86" s="664"/>
      <c r="D86" s="665" t="s">
        <v>186</v>
      </c>
      <c r="E86" s="666"/>
      <c r="F86" s="22">
        <v>400</v>
      </c>
      <c r="G86" s="60" t="s">
        <v>213</v>
      </c>
      <c r="H86" s="22"/>
      <c r="I86" s="22">
        <v>1</v>
      </c>
      <c r="J86" s="50">
        <f>SUM(J79:J85)/F86</f>
        <v>2.2750124999999999</v>
      </c>
    </row>
    <row r="87" spans="1:11" ht="15.75" thickBot="1" x14ac:dyDescent="0.3">
      <c r="A87" s="362"/>
      <c r="B87" s="363"/>
      <c r="C87" s="363"/>
      <c r="D87" s="364"/>
      <c r="E87" s="364"/>
      <c r="F87" s="365"/>
      <c r="G87" s="366"/>
      <c r="H87" s="365"/>
      <c r="I87" s="365"/>
      <c r="J87" s="367"/>
    </row>
    <row r="88" spans="1:11" ht="16.5" thickTop="1" thickBot="1" x14ac:dyDescent="0.3"/>
    <row r="89" spans="1:11" ht="15.75" thickBot="1" x14ac:dyDescent="0.3">
      <c r="B89" s="577" t="s">
        <v>6</v>
      </c>
      <c r="C89" s="579"/>
      <c r="D89" s="577" t="s">
        <v>178</v>
      </c>
      <c r="E89" s="578"/>
      <c r="F89" s="578"/>
      <c r="G89" s="578"/>
      <c r="H89" s="578"/>
      <c r="I89" s="578"/>
      <c r="J89" s="579"/>
    </row>
    <row r="90" spans="1:11" ht="23.25" thickBot="1" x14ac:dyDescent="0.3">
      <c r="B90" s="649" t="s">
        <v>36</v>
      </c>
      <c r="C90" s="650"/>
      <c r="D90" s="651" t="s">
        <v>37</v>
      </c>
      <c r="E90" s="852"/>
      <c r="F90" s="48" t="s">
        <v>167</v>
      </c>
      <c r="G90" s="48" t="s">
        <v>156</v>
      </c>
      <c r="H90" s="48" t="s">
        <v>172</v>
      </c>
      <c r="I90" s="61" t="s">
        <v>183</v>
      </c>
      <c r="J90" s="49" t="s">
        <v>41</v>
      </c>
    </row>
    <row r="91" spans="1:11" ht="32.25" customHeight="1" x14ac:dyDescent="0.25">
      <c r="B91" s="861" t="s">
        <v>26</v>
      </c>
      <c r="C91" s="862"/>
      <c r="D91" s="835" t="s">
        <v>386</v>
      </c>
      <c r="E91" s="836"/>
      <c r="F91" s="71"/>
      <c r="G91" s="71"/>
      <c r="H91" s="71"/>
      <c r="I91" s="71"/>
      <c r="J91" s="72"/>
      <c r="K91" s="70"/>
    </row>
    <row r="92" spans="1:11" x14ac:dyDescent="0.25">
      <c r="B92" s="657"/>
      <c r="C92" s="658"/>
      <c r="D92" s="704" t="s">
        <v>168</v>
      </c>
      <c r="E92" s="660"/>
      <c r="F92" s="23"/>
      <c r="G92" s="52"/>
      <c r="H92" s="23"/>
      <c r="I92" s="23"/>
      <c r="J92" s="25"/>
    </row>
    <row r="93" spans="1:11" ht="15.75" thickBot="1" x14ac:dyDescent="0.3">
      <c r="B93" s="54"/>
      <c r="C93" s="55"/>
      <c r="D93" s="853" t="str">
        <f>CENIK_št_1!B40</f>
        <v xml:space="preserve">Komunalni delavec </v>
      </c>
      <c r="E93" s="854"/>
      <c r="F93" s="23">
        <v>2.5</v>
      </c>
      <c r="G93" s="24">
        <f>CENIK_št_1!K40</f>
        <v>20.75</v>
      </c>
      <c r="H93" s="23"/>
      <c r="I93" s="23"/>
      <c r="J93" s="25">
        <f>F93*G93</f>
        <v>51.875</v>
      </c>
    </row>
    <row r="94" spans="1:11" ht="15.75" thickBot="1" x14ac:dyDescent="0.3">
      <c r="B94" s="663"/>
      <c r="C94" s="664"/>
      <c r="D94" s="665" t="s">
        <v>389</v>
      </c>
      <c r="E94" s="666"/>
      <c r="F94" s="22">
        <v>1</v>
      </c>
      <c r="G94" s="60"/>
      <c r="H94" s="22"/>
      <c r="I94" s="22"/>
      <c r="J94" s="50">
        <f>J93</f>
        <v>51.875</v>
      </c>
    </row>
    <row r="95" spans="1:11" ht="15.75" thickBot="1" x14ac:dyDescent="0.3"/>
    <row r="96" spans="1:11" ht="15.75" thickBot="1" x14ac:dyDescent="0.3">
      <c r="B96" s="577" t="s">
        <v>6</v>
      </c>
      <c r="C96" s="579"/>
      <c r="D96" s="577" t="s">
        <v>178</v>
      </c>
      <c r="E96" s="578"/>
      <c r="F96" s="578"/>
      <c r="G96" s="578"/>
      <c r="H96" s="578"/>
      <c r="I96" s="578"/>
      <c r="J96" s="579"/>
    </row>
    <row r="97" spans="1:262" ht="23.25" thickBot="1" x14ac:dyDescent="0.3">
      <c r="B97" s="649" t="s">
        <v>36</v>
      </c>
      <c r="C97" s="650"/>
      <c r="D97" s="651" t="s">
        <v>37</v>
      </c>
      <c r="E97" s="852"/>
      <c r="F97" s="48" t="s">
        <v>167</v>
      </c>
      <c r="G97" s="48" t="s">
        <v>156</v>
      </c>
      <c r="H97" s="48" t="s">
        <v>172</v>
      </c>
      <c r="I97" s="61" t="s">
        <v>183</v>
      </c>
      <c r="J97" s="49" t="s">
        <v>41</v>
      </c>
    </row>
    <row r="98" spans="1:262" ht="31.5" customHeight="1" x14ac:dyDescent="0.25">
      <c r="B98" s="861" t="s">
        <v>27</v>
      </c>
      <c r="C98" s="862"/>
      <c r="D98" s="835" t="s">
        <v>387</v>
      </c>
      <c r="E98" s="836"/>
      <c r="F98" s="71"/>
      <c r="G98" s="71"/>
      <c r="H98" s="71"/>
      <c r="I98" s="71"/>
      <c r="J98" s="72"/>
      <c r="K98" s="70"/>
    </row>
    <row r="99" spans="1:262" x14ac:dyDescent="0.25">
      <c r="B99" s="657"/>
      <c r="C99" s="658"/>
      <c r="D99" s="704" t="s">
        <v>168</v>
      </c>
      <c r="E99" s="660"/>
      <c r="F99" s="23"/>
      <c r="G99" s="52"/>
      <c r="H99" s="23"/>
      <c r="I99" s="23"/>
      <c r="J99" s="25"/>
    </row>
    <row r="100" spans="1:262" ht="26.25" customHeight="1" x14ac:dyDescent="0.25">
      <c r="B100" s="54"/>
      <c r="C100" s="55"/>
      <c r="D100" s="839" t="str">
        <f>CENIK_št_1!B41</f>
        <v>Delovodja, Skupinovodja, Preglednik, Dispečer, Voznik, Strojnik</v>
      </c>
      <c r="E100" s="840"/>
      <c r="F100" s="23">
        <v>0.1</v>
      </c>
      <c r="G100" s="24">
        <f>CENIK_št_1!K41</f>
        <v>21.02</v>
      </c>
      <c r="H100" s="23"/>
      <c r="I100" s="23"/>
      <c r="J100" s="25">
        <f>F100*G100</f>
        <v>2.1019999999999999</v>
      </c>
    </row>
    <row r="101" spans="1:262" x14ac:dyDescent="0.25">
      <c r="B101" s="54"/>
      <c r="C101" s="55"/>
      <c r="D101" s="853" t="s">
        <v>325</v>
      </c>
      <c r="E101" s="854"/>
      <c r="F101" s="23">
        <v>0.25</v>
      </c>
      <c r="G101" s="24">
        <f>CENIK_št_1!K40</f>
        <v>20.75</v>
      </c>
      <c r="H101" s="23"/>
      <c r="I101" s="23"/>
      <c r="J101" s="25">
        <f>F101*G101</f>
        <v>5.1875</v>
      </c>
    </row>
    <row r="102" spans="1:262" x14ac:dyDescent="0.25">
      <c r="B102" s="657"/>
      <c r="C102" s="658"/>
      <c r="D102" s="847" t="s">
        <v>179</v>
      </c>
      <c r="E102" s="848"/>
      <c r="F102" s="23"/>
      <c r="G102" s="24"/>
      <c r="H102" s="23"/>
      <c r="I102" s="23"/>
      <c r="J102" s="29"/>
    </row>
    <row r="103" spans="1:262" ht="15.75" thickBot="1" x14ac:dyDescent="0.3">
      <c r="B103" s="54"/>
      <c r="C103" s="55"/>
      <c r="D103" s="849" t="s">
        <v>379</v>
      </c>
      <c r="E103" s="849"/>
      <c r="F103" s="23">
        <v>0.25</v>
      </c>
      <c r="G103" s="24">
        <v>39.9</v>
      </c>
      <c r="H103" s="23"/>
      <c r="I103" s="356"/>
      <c r="J103" s="25">
        <f>F103*G103</f>
        <v>9.9749999999999996</v>
      </c>
    </row>
    <row r="104" spans="1:262" ht="15.75" thickBot="1" x14ac:dyDescent="0.3">
      <c r="B104" s="663"/>
      <c r="C104" s="664"/>
      <c r="D104" s="665" t="s">
        <v>189</v>
      </c>
      <c r="E104" s="666"/>
      <c r="F104" s="22"/>
      <c r="G104" s="60"/>
      <c r="H104" s="22"/>
      <c r="I104" s="22">
        <v>1</v>
      </c>
      <c r="J104" s="50">
        <f>SUM(J100:J103)</f>
        <v>17.264499999999998</v>
      </c>
    </row>
    <row r="105" spans="1:262" ht="15.75" thickBot="1" x14ac:dyDescent="0.3">
      <c r="B105" s="183"/>
      <c r="C105" s="183"/>
      <c r="D105" s="184"/>
      <c r="E105" s="184"/>
      <c r="F105" s="185"/>
      <c r="G105" s="186"/>
      <c r="H105" s="185"/>
      <c r="I105" s="185"/>
      <c r="J105" s="187"/>
    </row>
    <row r="106" spans="1:262" ht="15.75" thickBot="1" x14ac:dyDescent="0.3">
      <c r="B106" s="577" t="s">
        <v>6</v>
      </c>
      <c r="C106" s="579"/>
      <c r="D106" s="577" t="s">
        <v>178</v>
      </c>
      <c r="E106" s="578"/>
      <c r="F106" s="578"/>
      <c r="G106" s="578"/>
      <c r="H106" s="578"/>
      <c r="I106" s="578"/>
      <c r="J106" s="579"/>
    </row>
    <row r="107" spans="1:262" ht="23.25" customHeight="1" thickBot="1" x14ac:dyDescent="0.3">
      <c r="B107" s="649" t="s">
        <v>36</v>
      </c>
      <c r="C107" s="650"/>
      <c r="D107" s="651" t="s">
        <v>37</v>
      </c>
      <c r="E107" s="852"/>
      <c r="F107" s="48" t="s">
        <v>167</v>
      </c>
      <c r="G107" s="48" t="s">
        <v>156</v>
      </c>
      <c r="H107" s="48" t="s">
        <v>172</v>
      </c>
      <c r="I107" s="61" t="s">
        <v>183</v>
      </c>
      <c r="J107" s="49" t="s">
        <v>41</v>
      </c>
    </row>
    <row r="108" spans="1:262" ht="53.25" customHeight="1" x14ac:dyDescent="0.25">
      <c r="B108" s="861" t="s">
        <v>28</v>
      </c>
      <c r="C108" s="862"/>
      <c r="D108" s="835" t="s">
        <v>388</v>
      </c>
      <c r="E108" s="836"/>
      <c r="F108" s="71"/>
      <c r="G108" s="71"/>
      <c r="H108" s="71"/>
      <c r="I108" s="71"/>
      <c r="J108" s="72"/>
    </row>
    <row r="109" spans="1:262" x14ac:dyDescent="0.25">
      <c r="B109" s="657"/>
      <c r="C109" s="658"/>
      <c r="D109" s="704" t="s">
        <v>168</v>
      </c>
      <c r="E109" s="660"/>
      <c r="F109" s="23"/>
      <c r="G109" s="52"/>
      <c r="H109" s="23"/>
      <c r="I109" s="23"/>
      <c r="J109" s="25"/>
    </row>
    <row r="110" spans="1:262" s="55" customFormat="1" ht="21.75" customHeight="1" x14ac:dyDescent="0.25">
      <c r="A110" s="210"/>
      <c r="B110" s="54"/>
      <c r="D110" s="839" t="str">
        <f>CENIK_št_1!B41</f>
        <v>Delovodja, Skupinovodja, Preglednik, Dispečer, Voznik, Strojnik</v>
      </c>
      <c r="E110" s="840"/>
      <c r="F110" s="23">
        <v>0.15</v>
      </c>
      <c r="G110" s="24">
        <f>CENIK_št_1!K41</f>
        <v>21.02</v>
      </c>
      <c r="H110" s="23"/>
      <c r="I110" s="23"/>
      <c r="J110" s="25">
        <f>F110*G110</f>
        <v>3.153</v>
      </c>
      <c r="K110"/>
      <c r="L110" s="210"/>
      <c r="M110" s="210"/>
      <c r="N110" s="210"/>
      <c r="O110" s="210"/>
      <c r="P110" s="210"/>
      <c r="Q110" s="210"/>
      <c r="R110" s="210"/>
      <c r="S110" s="210"/>
      <c r="T110" s="210"/>
      <c r="U110" s="210"/>
      <c r="V110" s="210"/>
      <c r="W110" s="210"/>
      <c r="X110" s="210"/>
      <c r="Y110" s="210"/>
      <c r="Z110" s="210"/>
      <c r="AA110" s="210"/>
      <c r="AB110" s="210"/>
      <c r="AC110" s="210"/>
      <c r="AD110" s="210"/>
      <c r="AE110" s="210"/>
      <c r="AF110" s="210"/>
      <c r="AG110" s="210"/>
      <c r="AH110" s="210"/>
      <c r="AI110" s="210"/>
      <c r="AJ110" s="210"/>
      <c r="AK110" s="210"/>
      <c r="AL110" s="210"/>
      <c r="AM110" s="210"/>
      <c r="AN110" s="210"/>
      <c r="AO110" s="210"/>
      <c r="AP110" s="210"/>
      <c r="AQ110" s="210"/>
      <c r="AR110" s="210"/>
      <c r="AS110" s="210"/>
      <c r="AT110" s="210"/>
      <c r="AU110" s="210"/>
      <c r="AV110" s="210"/>
      <c r="AW110" s="210"/>
      <c r="AX110" s="210"/>
      <c r="AY110" s="210"/>
      <c r="AZ110" s="210"/>
      <c r="BA110" s="210"/>
      <c r="BB110" s="210"/>
      <c r="BC110" s="210"/>
      <c r="BD110" s="210"/>
      <c r="BE110" s="210"/>
      <c r="BF110" s="210"/>
      <c r="BG110" s="210"/>
      <c r="BH110" s="210"/>
      <c r="BI110" s="210"/>
      <c r="BJ110" s="210"/>
      <c r="BK110" s="210"/>
      <c r="BL110" s="210"/>
      <c r="BM110" s="210"/>
      <c r="BN110" s="210"/>
      <c r="BO110" s="210"/>
      <c r="BP110" s="210"/>
      <c r="BQ110" s="210"/>
      <c r="BR110" s="210"/>
      <c r="BS110" s="210"/>
      <c r="BT110" s="210"/>
      <c r="BU110" s="210"/>
      <c r="BV110" s="210"/>
      <c r="BW110" s="210"/>
      <c r="BX110" s="210"/>
      <c r="BY110" s="210"/>
      <c r="BZ110" s="210"/>
      <c r="CA110" s="210"/>
      <c r="CB110" s="210"/>
      <c r="CC110" s="210"/>
      <c r="CD110" s="210"/>
      <c r="CE110" s="210"/>
      <c r="CF110" s="210"/>
      <c r="CG110" s="210"/>
      <c r="CH110" s="210"/>
      <c r="CI110" s="210"/>
      <c r="CJ110" s="210"/>
      <c r="CK110" s="210"/>
      <c r="CL110" s="210"/>
      <c r="CM110" s="210"/>
      <c r="CN110" s="210"/>
      <c r="CO110" s="210"/>
      <c r="CP110" s="210"/>
      <c r="CQ110" s="210"/>
      <c r="CR110" s="210"/>
      <c r="CS110" s="210"/>
      <c r="CT110" s="210"/>
      <c r="CU110" s="210"/>
      <c r="CV110" s="210"/>
      <c r="CW110" s="210"/>
      <c r="CX110" s="210"/>
      <c r="CY110" s="210"/>
      <c r="CZ110" s="210"/>
      <c r="DA110" s="210"/>
      <c r="DB110" s="210"/>
      <c r="DC110" s="210"/>
      <c r="DD110" s="210"/>
      <c r="DE110" s="210"/>
      <c r="DF110" s="210"/>
      <c r="DG110" s="210"/>
      <c r="DH110" s="210"/>
      <c r="DI110" s="210"/>
      <c r="DJ110" s="210"/>
      <c r="DK110" s="210"/>
      <c r="DL110" s="210"/>
      <c r="DM110" s="210"/>
      <c r="DN110" s="210"/>
      <c r="DO110" s="210"/>
      <c r="DP110" s="210"/>
      <c r="DQ110" s="210"/>
      <c r="DR110" s="210"/>
      <c r="DS110" s="210"/>
      <c r="DT110" s="210"/>
      <c r="DU110" s="210"/>
      <c r="DV110" s="210"/>
      <c r="DW110" s="210"/>
      <c r="DX110" s="210"/>
      <c r="DY110" s="210"/>
      <c r="DZ110" s="210"/>
      <c r="EA110" s="210"/>
      <c r="EB110" s="210"/>
      <c r="EC110" s="210"/>
      <c r="ED110" s="210"/>
      <c r="EE110" s="210"/>
      <c r="EF110" s="210"/>
      <c r="EG110" s="210"/>
      <c r="EH110" s="210"/>
      <c r="EI110" s="210"/>
      <c r="EJ110" s="210"/>
      <c r="EK110" s="210"/>
      <c r="EL110" s="210"/>
      <c r="EM110" s="210"/>
      <c r="EN110" s="210"/>
      <c r="EO110" s="210"/>
      <c r="EP110" s="210"/>
      <c r="EQ110" s="210"/>
      <c r="ER110" s="210"/>
      <c r="ES110" s="210"/>
      <c r="ET110" s="210"/>
      <c r="EU110" s="210"/>
      <c r="EV110" s="210"/>
      <c r="EW110" s="210"/>
      <c r="EX110" s="210"/>
      <c r="EY110" s="210"/>
      <c r="EZ110" s="210"/>
      <c r="FA110" s="210"/>
      <c r="FB110" s="210"/>
      <c r="FC110" s="210"/>
      <c r="FD110" s="210"/>
      <c r="FE110" s="210"/>
      <c r="FF110" s="210"/>
      <c r="FG110" s="210"/>
      <c r="FH110" s="210"/>
      <c r="FI110" s="210"/>
      <c r="FJ110" s="210"/>
      <c r="FK110" s="210"/>
      <c r="FL110" s="210"/>
      <c r="FM110" s="210"/>
      <c r="FN110" s="210"/>
      <c r="FO110" s="210"/>
      <c r="FP110" s="210"/>
      <c r="FQ110" s="210"/>
      <c r="FR110" s="210"/>
      <c r="FS110" s="210"/>
      <c r="FT110" s="210"/>
      <c r="FU110" s="210"/>
      <c r="FV110" s="210"/>
      <c r="FW110" s="210"/>
      <c r="FX110" s="210"/>
      <c r="FY110" s="210"/>
      <c r="FZ110" s="210"/>
      <c r="GA110" s="210"/>
      <c r="GB110" s="210"/>
      <c r="GC110" s="210"/>
      <c r="GD110" s="210"/>
      <c r="GE110" s="210"/>
      <c r="GF110" s="210"/>
      <c r="GG110" s="210"/>
      <c r="GH110" s="210"/>
      <c r="GI110" s="210"/>
      <c r="GJ110" s="210"/>
      <c r="GK110" s="210"/>
      <c r="GL110" s="210"/>
      <c r="GM110" s="210"/>
      <c r="GN110" s="210"/>
      <c r="GO110" s="210"/>
      <c r="GP110" s="210"/>
      <c r="GQ110" s="210"/>
      <c r="GR110" s="210"/>
      <c r="GS110" s="210"/>
      <c r="GT110" s="210"/>
      <c r="GU110" s="210"/>
      <c r="GV110" s="210"/>
      <c r="GW110" s="210"/>
      <c r="GX110" s="210"/>
      <c r="GY110" s="210"/>
      <c r="GZ110" s="210"/>
      <c r="HA110" s="210"/>
      <c r="HB110" s="210"/>
      <c r="HC110" s="210"/>
      <c r="HD110" s="210"/>
      <c r="HE110" s="210"/>
      <c r="HF110" s="210"/>
      <c r="HG110" s="210"/>
      <c r="HH110" s="210"/>
      <c r="HI110" s="210"/>
      <c r="HJ110" s="210"/>
      <c r="HK110" s="210"/>
      <c r="HL110" s="210"/>
      <c r="HM110" s="210"/>
      <c r="HN110" s="210"/>
      <c r="HO110" s="210"/>
      <c r="HP110" s="210"/>
      <c r="HQ110" s="210"/>
      <c r="HR110" s="210"/>
      <c r="HS110" s="210"/>
      <c r="HT110" s="210"/>
      <c r="HU110" s="210"/>
      <c r="HV110" s="210"/>
      <c r="HW110" s="210"/>
      <c r="HX110" s="210"/>
      <c r="HY110" s="210"/>
      <c r="HZ110" s="210"/>
      <c r="IA110" s="210"/>
      <c r="IB110" s="210"/>
      <c r="IC110" s="210"/>
      <c r="ID110" s="210"/>
      <c r="IE110" s="210"/>
      <c r="IF110" s="210"/>
      <c r="IG110" s="210"/>
      <c r="IH110" s="210"/>
      <c r="II110" s="210"/>
      <c r="IJ110" s="210"/>
      <c r="IK110" s="210"/>
      <c r="IL110" s="210"/>
      <c r="IM110" s="210"/>
      <c r="IN110" s="210"/>
      <c r="IO110" s="210"/>
      <c r="IP110" s="210"/>
      <c r="IQ110" s="210"/>
      <c r="IR110" s="210"/>
      <c r="IS110" s="210"/>
      <c r="IT110" s="210"/>
      <c r="IU110" s="210"/>
      <c r="IV110" s="210"/>
      <c r="IW110" s="210"/>
      <c r="IX110" s="210"/>
      <c r="IY110" s="210"/>
      <c r="IZ110" s="210"/>
      <c r="JA110" s="210"/>
      <c r="JB110" s="210"/>
    </row>
    <row r="111" spans="1:262" x14ac:dyDescent="0.25">
      <c r="B111" s="54"/>
      <c r="C111" s="55"/>
      <c r="D111" s="853" t="s">
        <v>325</v>
      </c>
      <c r="E111" s="854"/>
      <c r="F111" s="23">
        <v>0.35</v>
      </c>
      <c r="G111" s="24">
        <f>CENIK_št_1!K40</f>
        <v>20.75</v>
      </c>
      <c r="H111" s="23"/>
      <c r="I111" s="23"/>
      <c r="J111" s="25">
        <f>F111*G111</f>
        <v>7.2624999999999993</v>
      </c>
    </row>
    <row r="112" spans="1:262" x14ac:dyDescent="0.25">
      <c r="B112" s="657"/>
      <c r="C112" s="658"/>
      <c r="D112" s="847" t="s">
        <v>179</v>
      </c>
      <c r="E112" s="848"/>
      <c r="F112" s="23"/>
      <c r="G112" s="24"/>
      <c r="H112" s="23"/>
      <c r="I112" s="23"/>
      <c r="J112" s="29"/>
    </row>
    <row r="113" spans="2:11" ht="15.75" thickBot="1" x14ac:dyDescent="0.3">
      <c r="B113" s="54"/>
      <c r="C113" s="55"/>
      <c r="D113" s="849" t="s">
        <v>379</v>
      </c>
      <c r="E113" s="849"/>
      <c r="F113" s="23">
        <v>0.35</v>
      </c>
      <c r="G113" s="24">
        <v>39.9</v>
      </c>
      <c r="H113" s="23"/>
      <c r="I113" s="356"/>
      <c r="J113" s="25">
        <f>F113*G113</f>
        <v>13.964999999999998</v>
      </c>
    </row>
    <row r="114" spans="2:11" ht="15.75" thickBot="1" x14ac:dyDescent="0.3">
      <c r="B114" s="663"/>
      <c r="C114" s="664"/>
      <c r="D114" s="665" t="s">
        <v>189</v>
      </c>
      <c r="E114" s="666"/>
      <c r="F114" s="22"/>
      <c r="G114" s="60"/>
      <c r="H114" s="22"/>
      <c r="I114" s="22">
        <v>1</v>
      </c>
      <c r="J114" s="50">
        <f>SUM(J110:J113)</f>
        <v>24.380499999999998</v>
      </c>
    </row>
    <row r="115" spans="2:11" x14ac:dyDescent="0.25">
      <c r="B115" s="183"/>
      <c r="C115" s="183"/>
      <c r="D115" s="184"/>
      <c r="E115" s="184"/>
      <c r="F115" s="185"/>
      <c r="G115" s="186"/>
      <c r="H115" s="185"/>
      <c r="I115" s="185"/>
      <c r="J115" s="187"/>
    </row>
    <row r="116" spans="2:11" ht="15.75" thickBot="1" x14ac:dyDescent="0.3">
      <c r="B116" s="57"/>
      <c r="C116" s="57"/>
      <c r="D116" s="57"/>
      <c r="E116" s="57"/>
      <c r="F116" s="57"/>
      <c r="G116" s="57"/>
      <c r="H116" s="57"/>
      <c r="I116" s="57"/>
      <c r="J116" s="57"/>
    </row>
    <row r="117" spans="2:11" ht="15.75" thickTop="1" x14ac:dyDescent="0.25"/>
    <row r="118" spans="2:11" ht="15.75" thickBot="1" x14ac:dyDescent="0.3"/>
    <row r="119" spans="2:11" ht="15.75" thickBot="1" x14ac:dyDescent="0.3">
      <c r="B119" s="577" t="s">
        <v>9</v>
      </c>
      <c r="C119" s="579"/>
      <c r="D119" s="577" t="s">
        <v>126</v>
      </c>
      <c r="E119" s="578"/>
      <c r="F119" s="578"/>
      <c r="G119" s="578"/>
      <c r="H119" s="578"/>
      <c r="I119" s="578"/>
      <c r="J119" s="579"/>
    </row>
    <row r="120" spans="2:11" ht="23.25" thickBot="1" x14ac:dyDescent="0.3">
      <c r="B120" s="649" t="s">
        <v>36</v>
      </c>
      <c r="C120" s="650"/>
      <c r="D120" s="651" t="s">
        <v>37</v>
      </c>
      <c r="E120" s="852"/>
      <c r="F120" s="48" t="s">
        <v>167</v>
      </c>
      <c r="G120" s="48" t="s">
        <v>156</v>
      </c>
      <c r="H120" s="48" t="s">
        <v>172</v>
      </c>
      <c r="I120" s="61" t="s">
        <v>184</v>
      </c>
      <c r="J120" s="49" t="s">
        <v>41</v>
      </c>
    </row>
    <row r="121" spans="2:11" ht="35.25" customHeight="1" x14ac:dyDescent="0.25">
      <c r="B121" s="653" t="s">
        <v>51</v>
      </c>
      <c r="C121" s="654"/>
      <c r="D121" s="835" t="s">
        <v>391</v>
      </c>
      <c r="E121" s="836"/>
      <c r="F121" s="76"/>
      <c r="G121" s="76"/>
      <c r="H121" s="76"/>
      <c r="I121" s="76"/>
      <c r="J121" s="77"/>
    </row>
    <row r="122" spans="2:11" x14ac:dyDescent="0.25">
      <c r="B122" s="657"/>
      <c r="C122" s="658"/>
      <c r="D122" s="704" t="s">
        <v>168</v>
      </c>
      <c r="E122" s="660"/>
      <c r="F122" s="23"/>
      <c r="G122" s="52"/>
      <c r="H122" s="23"/>
      <c r="I122" s="23"/>
      <c r="J122" s="25"/>
    </row>
    <row r="123" spans="2:11" ht="35.25" customHeight="1" x14ac:dyDescent="0.25">
      <c r="B123" s="54"/>
      <c r="C123" s="55"/>
      <c r="D123" s="323"/>
      <c r="E123" s="368" t="str">
        <f>CENIK_št_1!B41</f>
        <v>Delovodja, Skupinovodja, Preglednik, Dispečer, Voznik, Strojnik</v>
      </c>
      <c r="F123" s="23">
        <v>0.1</v>
      </c>
      <c r="G123" s="24">
        <f>CENIK_št_1!K41</f>
        <v>21.02</v>
      </c>
      <c r="H123" s="23"/>
      <c r="I123" s="23"/>
      <c r="J123" s="25">
        <f>F123*G123</f>
        <v>2.1019999999999999</v>
      </c>
    </row>
    <row r="124" spans="2:11" x14ac:dyDescent="0.25">
      <c r="B124" s="54"/>
      <c r="C124" s="55"/>
      <c r="D124" s="853" t="str">
        <f>CENIK_št_1!B40</f>
        <v xml:space="preserve">Komunalni delavec </v>
      </c>
      <c r="E124" s="854"/>
      <c r="F124" s="23">
        <v>1</v>
      </c>
      <c r="G124" s="24">
        <f>CENIK_št_1!K40</f>
        <v>20.75</v>
      </c>
      <c r="H124" s="23"/>
      <c r="I124" s="23"/>
      <c r="J124" s="25">
        <f>F124*G124</f>
        <v>20.75</v>
      </c>
    </row>
    <row r="125" spans="2:11" x14ac:dyDescent="0.25">
      <c r="B125" s="58"/>
      <c r="C125" s="59"/>
      <c r="D125" s="688" t="s">
        <v>169</v>
      </c>
      <c r="E125" s="689"/>
      <c r="F125" s="27"/>
      <c r="G125" s="74"/>
      <c r="H125" s="27"/>
      <c r="I125" s="27"/>
      <c r="J125" s="73"/>
    </row>
    <row r="126" spans="2:11" ht="15" customHeight="1" x14ac:dyDescent="0.25">
      <c r="B126" s="58"/>
      <c r="C126" s="59"/>
      <c r="D126" s="776" t="s">
        <v>13</v>
      </c>
      <c r="E126" s="855"/>
      <c r="F126" s="85">
        <v>0.25</v>
      </c>
      <c r="G126" s="86">
        <f>CENIK_št_1!K63</f>
        <v>33.81</v>
      </c>
      <c r="H126" s="84"/>
      <c r="I126" s="84"/>
      <c r="J126" s="87">
        <f>F126*G126</f>
        <v>8.4525000000000006</v>
      </c>
      <c r="K126" s="70"/>
    </row>
    <row r="127" spans="2:11" x14ac:dyDescent="0.25">
      <c r="B127" s="657"/>
      <c r="C127" s="658"/>
      <c r="D127" s="700" t="s">
        <v>170</v>
      </c>
      <c r="E127" s="779"/>
      <c r="F127" s="23"/>
      <c r="G127" s="52"/>
      <c r="H127" s="23"/>
      <c r="I127" s="23"/>
      <c r="J127" s="25"/>
    </row>
    <row r="128" spans="2:11" x14ac:dyDescent="0.25">
      <c r="B128" s="54"/>
      <c r="C128" s="55"/>
      <c r="D128" s="856" t="s">
        <v>180</v>
      </c>
      <c r="E128" s="857"/>
      <c r="F128" s="23"/>
      <c r="G128" s="24"/>
      <c r="H128" s="23">
        <v>2</v>
      </c>
      <c r="I128" s="23">
        <v>1</v>
      </c>
      <c r="J128" s="25">
        <f>H128*I128</f>
        <v>2</v>
      </c>
    </row>
    <row r="129" spans="2:11" x14ac:dyDescent="0.25">
      <c r="B129" s="58"/>
      <c r="C129" s="59"/>
      <c r="D129" s="688" t="s">
        <v>188</v>
      </c>
      <c r="E129" s="689"/>
      <c r="F129" s="27"/>
      <c r="G129" s="74"/>
      <c r="H129" s="27">
        <v>0.75</v>
      </c>
      <c r="I129" s="27">
        <v>1</v>
      </c>
      <c r="J129" s="73">
        <f>H129*I129</f>
        <v>0.75</v>
      </c>
    </row>
    <row r="130" spans="2:11" ht="15" customHeight="1" thickBot="1" x14ac:dyDescent="0.3">
      <c r="B130" s="58"/>
      <c r="C130" s="59"/>
      <c r="D130" s="858" t="s">
        <v>187</v>
      </c>
      <c r="E130" s="859"/>
      <c r="F130" s="85"/>
      <c r="G130" s="86"/>
      <c r="H130" s="27">
        <v>1.5</v>
      </c>
      <c r="I130" s="27">
        <v>0.1</v>
      </c>
      <c r="J130" s="73">
        <f>H130*I130</f>
        <v>0.15000000000000002</v>
      </c>
      <c r="K130" s="70"/>
    </row>
    <row r="131" spans="2:11" ht="15.75" thickBot="1" x14ac:dyDescent="0.3">
      <c r="B131" s="663"/>
      <c r="C131" s="664"/>
      <c r="D131" s="665" t="s">
        <v>190</v>
      </c>
      <c r="E131" s="666"/>
      <c r="F131" s="22"/>
      <c r="G131" s="60"/>
      <c r="H131" s="22"/>
      <c r="I131" s="22">
        <v>1</v>
      </c>
      <c r="J131" s="50">
        <f>SUM(J123:J130)</f>
        <v>34.204500000000003</v>
      </c>
    </row>
    <row r="132" spans="2:11" ht="15.75" thickBot="1" x14ac:dyDescent="0.3">
      <c r="J132" s="53"/>
    </row>
    <row r="133" spans="2:11" ht="15.75" thickBot="1" x14ac:dyDescent="0.3">
      <c r="B133" s="577" t="s">
        <v>9</v>
      </c>
      <c r="C133" s="579"/>
      <c r="D133" s="577" t="s">
        <v>126</v>
      </c>
      <c r="E133" s="578"/>
      <c r="F133" s="578"/>
      <c r="G133" s="578"/>
      <c r="H133" s="578"/>
      <c r="I133" s="578"/>
      <c r="J133" s="579"/>
    </row>
    <row r="134" spans="2:11" ht="23.25" thickBot="1" x14ac:dyDescent="0.3">
      <c r="B134" s="649" t="s">
        <v>36</v>
      </c>
      <c r="C134" s="650"/>
      <c r="D134" s="651" t="s">
        <v>37</v>
      </c>
      <c r="E134" s="852"/>
      <c r="F134" s="48" t="s">
        <v>167</v>
      </c>
      <c r="G134" s="48" t="s">
        <v>156</v>
      </c>
      <c r="H134" s="48" t="s">
        <v>172</v>
      </c>
      <c r="I134" s="61" t="s">
        <v>184</v>
      </c>
      <c r="J134" s="49" t="s">
        <v>41</v>
      </c>
    </row>
    <row r="135" spans="2:11" ht="26.25" customHeight="1" x14ac:dyDescent="0.25">
      <c r="B135" s="653" t="s">
        <v>52</v>
      </c>
      <c r="C135" s="654"/>
      <c r="D135" s="835" t="s">
        <v>390</v>
      </c>
      <c r="E135" s="836"/>
      <c r="F135" s="76"/>
      <c r="G135" s="76"/>
      <c r="H135" s="76"/>
      <c r="I135" s="76"/>
      <c r="J135" s="77"/>
    </row>
    <row r="136" spans="2:11" x14ac:dyDescent="0.25">
      <c r="B136" s="657"/>
      <c r="C136" s="658"/>
      <c r="D136" s="704" t="s">
        <v>168</v>
      </c>
      <c r="E136" s="660"/>
      <c r="F136" s="23"/>
      <c r="G136" s="52"/>
      <c r="H136" s="23"/>
      <c r="I136" s="23"/>
      <c r="J136" s="25"/>
    </row>
    <row r="137" spans="2:11" ht="34.5" x14ac:dyDescent="0.25">
      <c r="B137" s="54"/>
      <c r="C137" s="55"/>
      <c r="D137" s="323"/>
      <c r="E137" s="368" t="str">
        <f>CENIK_št_1!B41</f>
        <v>Delovodja, Skupinovodja, Preglednik, Dispečer, Voznik, Strojnik</v>
      </c>
      <c r="F137" s="23">
        <v>0.1</v>
      </c>
      <c r="G137" s="24">
        <f>CENIK_št_1!K41</f>
        <v>21.02</v>
      </c>
      <c r="H137" s="23"/>
      <c r="I137" s="23"/>
      <c r="J137" s="25">
        <f>F137*G137</f>
        <v>2.1019999999999999</v>
      </c>
    </row>
    <row r="138" spans="2:11" x14ac:dyDescent="0.25">
      <c r="B138" s="54"/>
      <c r="C138" s="55"/>
      <c r="D138" s="853" t="s">
        <v>325</v>
      </c>
      <c r="E138" s="854"/>
      <c r="F138" s="23">
        <v>0.75</v>
      </c>
      <c r="G138" s="24">
        <f>CENIK_št_1!K40</f>
        <v>20.75</v>
      </c>
      <c r="H138" s="23"/>
      <c r="I138" s="23"/>
      <c r="J138" s="25">
        <f>F138*G138</f>
        <v>15.5625</v>
      </c>
    </row>
    <row r="139" spans="2:11" x14ac:dyDescent="0.25">
      <c r="B139" s="58"/>
      <c r="C139" s="59"/>
      <c r="D139" s="688" t="s">
        <v>169</v>
      </c>
      <c r="E139" s="689"/>
      <c r="F139" s="27"/>
      <c r="G139" s="74"/>
      <c r="H139" s="27"/>
      <c r="I139" s="27"/>
      <c r="J139" s="73"/>
    </row>
    <row r="140" spans="2:11" x14ac:dyDescent="0.25">
      <c r="B140" s="58"/>
      <c r="C140" s="59"/>
      <c r="D140" s="776" t="s">
        <v>13</v>
      </c>
      <c r="E140" s="855"/>
      <c r="F140" s="85">
        <v>0.25</v>
      </c>
      <c r="G140" s="86">
        <f>CENIK_št_1!K63</f>
        <v>33.81</v>
      </c>
      <c r="H140" s="84"/>
      <c r="I140" s="84"/>
      <c r="J140" s="87">
        <f>F140*G140</f>
        <v>8.4525000000000006</v>
      </c>
    </row>
    <row r="141" spans="2:11" x14ac:dyDescent="0.25">
      <c r="B141" s="657"/>
      <c r="C141" s="658"/>
      <c r="D141" s="700" t="s">
        <v>170</v>
      </c>
      <c r="E141" s="779"/>
      <c r="F141" s="23"/>
      <c r="G141" s="52"/>
      <c r="H141" s="23"/>
      <c r="I141" s="23"/>
      <c r="J141" s="25"/>
    </row>
    <row r="142" spans="2:11" x14ac:dyDescent="0.25">
      <c r="B142" s="54"/>
      <c r="C142" s="55"/>
      <c r="D142" s="856" t="s">
        <v>180</v>
      </c>
      <c r="E142" s="857"/>
      <c r="F142" s="23"/>
      <c r="G142" s="24"/>
      <c r="H142" s="23">
        <v>2</v>
      </c>
      <c r="I142" s="23">
        <v>1</v>
      </c>
      <c r="J142" s="25">
        <f>H142*I142</f>
        <v>2</v>
      </c>
    </row>
    <row r="143" spans="2:11" x14ac:dyDescent="0.25">
      <c r="B143" s="58"/>
      <c r="C143" s="59"/>
      <c r="D143" s="688" t="s">
        <v>188</v>
      </c>
      <c r="E143" s="689"/>
      <c r="F143" s="27"/>
      <c r="G143" s="74"/>
      <c r="H143" s="27">
        <v>0.75</v>
      </c>
      <c r="I143" s="27">
        <v>1</v>
      </c>
      <c r="J143" s="73">
        <f>H143*I143</f>
        <v>0.75</v>
      </c>
    </row>
    <row r="144" spans="2:11" ht="15.75" thickBot="1" x14ac:dyDescent="0.3">
      <c r="B144" s="58"/>
      <c r="C144" s="59"/>
      <c r="D144" s="858" t="s">
        <v>187</v>
      </c>
      <c r="E144" s="859"/>
      <c r="F144" s="85"/>
      <c r="G144" s="86"/>
      <c r="H144" s="27">
        <v>1.5</v>
      </c>
      <c r="I144" s="27">
        <v>0.1</v>
      </c>
      <c r="J144" s="73">
        <f>H144*I144</f>
        <v>0.15000000000000002</v>
      </c>
    </row>
    <row r="145" spans="2:10" ht="15.75" thickBot="1" x14ac:dyDescent="0.3">
      <c r="B145" s="663"/>
      <c r="C145" s="664"/>
      <c r="D145" s="665" t="s">
        <v>190</v>
      </c>
      <c r="E145" s="666"/>
      <c r="F145" s="22"/>
      <c r="G145" s="60"/>
      <c r="H145" s="22"/>
      <c r="I145" s="22">
        <v>1</v>
      </c>
      <c r="J145" s="50">
        <f>SUM(J137:J144)</f>
        <v>29.016999999999999</v>
      </c>
    </row>
    <row r="146" spans="2:10" x14ac:dyDescent="0.25">
      <c r="J146" s="53"/>
    </row>
    <row r="147" spans="2:10" ht="15.75" thickBot="1" x14ac:dyDescent="0.3">
      <c r="B147" s="57"/>
      <c r="C147" s="57"/>
      <c r="D147" s="57"/>
      <c r="E147" s="57"/>
      <c r="F147" s="57"/>
      <c r="G147" s="57"/>
      <c r="H147" s="57"/>
      <c r="I147" s="57"/>
      <c r="J147" s="57"/>
    </row>
    <row r="148" spans="2:10" ht="15.75" thickTop="1" x14ac:dyDescent="0.25"/>
    <row r="149" spans="2:10" ht="15.75" thickBot="1" x14ac:dyDescent="0.3"/>
    <row r="150" spans="2:10" ht="15.75" customHeight="1" thickBot="1" x14ac:dyDescent="0.3">
      <c r="B150" s="577" t="s">
        <v>75</v>
      </c>
      <c r="C150" s="579"/>
      <c r="D150" s="577" t="s">
        <v>127</v>
      </c>
      <c r="E150" s="578"/>
      <c r="F150" s="578"/>
      <c r="G150" s="578"/>
      <c r="H150" s="578"/>
      <c r="I150" s="578"/>
      <c r="J150" s="579"/>
    </row>
    <row r="151" spans="2:10" ht="23.25" thickBot="1" x14ac:dyDescent="0.3">
      <c r="B151" s="649" t="s">
        <v>36</v>
      </c>
      <c r="C151" s="650"/>
      <c r="D151" s="651" t="s">
        <v>37</v>
      </c>
      <c r="E151" s="652"/>
      <c r="F151" s="48" t="s">
        <v>167</v>
      </c>
      <c r="G151" s="48" t="s">
        <v>156</v>
      </c>
      <c r="H151" s="48" t="s">
        <v>172</v>
      </c>
      <c r="I151" s="61" t="s">
        <v>184</v>
      </c>
      <c r="J151" s="49" t="s">
        <v>41</v>
      </c>
    </row>
    <row r="152" spans="2:10" ht="39" customHeight="1" x14ac:dyDescent="0.25">
      <c r="B152" s="653" t="s">
        <v>76</v>
      </c>
      <c r="C152" s="654"/>
      <c r="D152" s="835" t="s">
        <v>395</v>
      </c>
      <c r="E152" s="836"/>
      <c r="F152" s="76"/>
      <c r="G152" s="76"/>
      <c r="H152" s="76"/>
      <c r="I152" s="76"/>
      <c r="J152" s="77"/>
    </row>
    <row r="153" spans="2:10" ht="15" customHeight="1" x14ac:dyDescent="0.25">
      <c r="B153" s="657"/>
      <c r="C153" s="658"/>
      <c r="D153" s="704" t="s">
        <v>168</v>
      </c>
      <c r="E153" s="660"/>
      <c r="F153" s="23"/>
      <c r="G153" s="52"/>
      <c r="H153" s="23"/>
      <c r="I153" s="23"/>
      <c r="J153" s="25"/>
    </row>
    <row r="154" spans="2:10" ht="35.25" customHeight="1" x14ac:dyDescent="0.25">
      <c r="B154" s="54"/>
      <c r="C154" s="55"/>
      <c r="D154" s="322"/>
      <c r="E154" s="329" t="str">
        <f>CENIK_št_1!B41</f>
        <v>Delovodja, Skupinovodja, Preglednik, Dispečer, Voznik, Strojnik</v>
      </c>
      <c r="F154" s="23">
        <v>2.5000000000000001E-2</v>
      </c>
      <c r="G154" s="24">
        <f>CENIK_št_1!K41</f>
        <v>21.02</v>
      </c>
      <c r="H154" s="23"/>
      <c r="I154" s="23"/>
      <c r="J154" s="25">
        <f>F154*G154</f>
        <v>0.52549999999999997</v>
      </c>
    </row>
    <row r="155" spans="2:10" ht="15" customHeight="1" x14ac:dyDescent="0.25">
      <c r="B155" s="54"/>
      <c r="C155" s="55"/>
      <c r="D155" s="841" t="str">
        <f>CENIK_št_1!B40</f>
        <v xml:space="preserve">Komunalni delavec </v>
      </c>
      <c r="E155" s="769"/>
      <c r="F155" s="23">
        <v>0.1</v>
      </c>
      <c r="G155" s="24">
        <f>G124</f>
        <v>20.75</v>
      </c>
      <c r="H155" s="23"/>
      <c r="I155" s="23"/>
      <c r="J155" s="25">
        <f>F155*G155</f>
        <v>2.0750000000000002</v>
      </c>
    </row>
    <row r="156" spans="2:10" ht="15" customHeight="1" x14ac:dyDescent="0.25">
      <c r="B156" s="58"/>
      <c r="C156" s="59"/>
      <c r="D156" s="688" t="s">
        <v>169</v>
      </c>
      <c r="E156" s="689"/>
      <c r="F156" s="27"/>
      <c r="G156" s="74"/>
      <c r="H156" s="27"/>
      <c r="I156" s="27"/>
      <c r="J156" s="73"/>
    </row>
    <row r="157" spans="2:10" ht="15" customHeight="1" x14ac:dyDescent="0.25">
      <c r="B157" s="58"/>
      <c r="C157" s="59"/>
      <c r="D157" s="776" t="s">
        <v>13</v>
      </c>
      <c r="E157" s="724"/>
      <c r="F157" s="85">
        <v>0.05</v>
      </c>
      <c r="G157" s="86">
        <f>CENIK_št_1!K63</f>
        <v>33.81</v>
      </c>
      <c r="H157" s="84"/>
      <c r="I157" s="84"/>
      <c r="J157" s="87">
        <f>F157*G157</f>
        <v>1.6905000000000001</v>
      </c>
    </row>
    <row r="158" spans="2:10" ht="15" customHeight="1" x14ac:dyDescent="0.25">
      <c r="B158" s="657"/>
      <c r="C158" s="658"/>
      <c r="D158" s="704" t="s">
        <v>170</v>
      </c>
      <c r="E158" s="660"/>
      <c r="F158" s="23"/>
      <c r="G158" s="52"/>
      <c r="H158" s="23"/>
      <c r="I158" s="23"/>
      <c r="J158" s="25"/>
    </row>
    <row r="159" spans="2:10" ht="15" customHeight="1" thickBot="1" x14ac:dyDescent="0.3">
      <c r="B159" s="54"/>
      <c r="C159" s="55"/>
      <c r="D159" s="770" t="s">
        <v>181</v>
      </c>
      <c r="E159" s="771"/>
      <c r="F159" s="23"/>
      <c r="G159" s="24"/>
      <c r="H159" s="23">
        <v>1</v>
      </c>
      <c r="I159" s="23">
        <v>0.05</v>
      </c>
      <c r="J159" s="25">
        <f>H159*I159</f>
        <v>0.05</v>
      </c>
    </row>
    <row r="160" spans="2:10" ht="15.75" thickBot="1" x14ac:dyDescent="0.3">
      <c r="B160" s="663"/>
      <c r="C160" s="664"/>
      <c r="D160" s="665" t="s">
        <v>185</v>
      </c>
      <c r="E160" s="666"/>
      <c r="F160" s="22"/>
      <c r="G160" s="60"/>
      <c r="H160" s="22"/>
      <c r="I160" s="22">
        <v>1</v>
      </c>
      <c r="J160" s="50">
        <f>SUM(J154:J159)</f>
        <v>4.3410000000000002</v>
      </c>
    </row>
    <row r="162" spans="2:10" ht="15.75" thickBot="1" x14ac:dyDescent="0.3">
      <c r="B162" s="57"/>
      <c r="C162" s="57"/>
      <c r="D162" s="57"/>
      <c r="E162" s="57"/>
      <c r="F162" s="57"/>
      <c r="G162" s="57"/>
      <c r="H162" s="57"/>
      <c r="I162" s="57"/>
      <c r="J162" s="57"/>
    </row>
    <row r="163" spans="2:10" ht="15.75" thickTop="1" x14ac:dyDescent="0.25"/>
    <row r="164" spans="2:10" ht="15.75" thickBot="1" x14ac:dyDescent="0.3"/>
    <row r="165" spans="2:10" ht="15.75" customHeight="1" thickBot="1" x14ac:dyDescent="0.3">
      <c r="B165" s="577" t="s">
        <v>90</v>
      </c>
      <c r="C165" s="579"/>
      <c r="D165" s="577" t="s">
        <v>128</v>
      </c>
      <c r="E165" s="578"/>
      <c r="F165" s="578"/>
      <c r="G165" s="578"/>
      <c r="H165" s="578"/>
      <c r="I165" s="578"/>
      <c r="J165" s="579"/>
    </row>
    <row r="166" spans="2:10" ht="23.25" thickBot="1" x14ac:dyDescent="0.3">
      <c r="B166" s="649" t="s">
        <v>36</v>
      </c>
      <c r="C166" s="650"/>
      <c r="D166" s="651" t="s">
        <v>37</v>
      </c>
      <c r="E166" s="652"/>
      <c r="F166" s="48" t="s">
        <v>167</v>
      </c>
      <c r="G166" s="48" t="s">
        <v>156</v>
      </c>
      <c r="H166" s="48" t="s">
        <v>172</v>
      </c>
      <c r="I166" s="61" t="s">
        <v>183</v>
      </c>
      <c r="J166" s="49" t="s">
        <v>41</v>
      </c>
    </row>
    <row r="167" spans="2:10" ht="41.25" customHeight="1" x14ac:dyDescent="0.25">
      <c r="B167" s="653" t="s">
        <v>91</v>
      </c>
      <c r="C167" s="654"/>
      <c r="D167" s="835" t="s">
        <v>394</v>
      </c>
      <c r="E167" s="836"/>
      <c r="F167" s="76"/>
      <c r="G167" s="76"/>
      <c r="H167" s="76"/>
      <c r="I167" s="76"/>
      <c r="J167" s="77"/>
    </row>
    <row r="168" spans="2:10" ht="15" customHeight="1" x14ac:dyDescent="0.25">
      <c r="B168" s="657"/>
      <c r="C168" s="658"/>
      <c r="D168" s="704" t="s">
        <v>168</v>
      </c>
      <c r="E168" s="660"/>
      <c r="F168" s="23"/>
      <c r="G168" s="52"/>
      <c r="H168" s="23"/>
      <c r="I168" s="23"/>
      <c r="J168" s="25"/>
    </row>
    <row r="169" spans="2:10" ht="25.5" customHeight="1" x14ac:dyDescent="0.25">
      <c r="B169" s="54"/>
      <c r="C169" s="55"/>
      <c r="D169" s="837" t="str">
        <f>CENIK_št_1!B41</f>
        <v>Delovodja, Skupinovodja, Preglednik, Dispečer, Voznik, Strojnik</v>
      </c>
      <c r="E169" s="838"/>
      <c r="F169" s="23">
        <v>0.25</v>
      </c>
      <c r="G169" s="24">
        <f>CENIK_št_1!K41</f>
        <v>21.02</v>
      </c>
      <c r="H169" s="23"/>
      <c r="I169" s="23"/>
      <c r="J169" s="25">
        <f>F169*G169</f>
        <v>5.2549999999999999</v>
      </c>
    </row>
    <row r="170" spans="2:10" ht="15" customHeight="1" x14ac:dyDescent="0.25">
      <c r="B170" s="54"/>
      <c r="C170" s="55"/>
      <c r="D170" s="370"/>
      <c r="E170" s="373" t="s">
        <v>325</v>
      </c>
      <c r="F170" s="23">
        <v>2</v>
      </c>
      <c r="G170" s="24">
        <f>CENIK_št_1!K40</f>
        <v>20.75</v>
      </c>
      <c r="H170" s="23"/>
      <c r="I170" s="23"/>
      <c r="J170" s="25">
        <f>F170*G170</f>
        <v>41.5</v>
      </c>
    </row>
    <row r="171" spans="2:10" ht="15" customHeight="1" x14ac:dyDescent="0.25">
      <c r="B171" s="58"/>
      <c r="C171" s="59"/>
      <c r="D171" s="688" t="s">
        <v>169</v>
      </c>
      <c r="E171" s="689"/>
      <c r="F171" s="27"/>
      <c r="G171" s="74"/>
      <c r="H171" s="27"/>
      <c r="I171" s="27"/>
      <c r="J171" s="73"/>
    </row>
    <row r="172" spans="2:10" ht="15" customHeight="1" x14ac:dyDescent="0.25">
      <c r="B172" s="58"/>
      <c r="C172" s="59"/>
      <c r="D172" s="374"/>
      <c r="E172" s="375" t="str">
        <f>CENIK_št_1!B64</f>
        <v>Tovorno vozilo do 15 t sdm</v>
      </c>
      <c r="F172" s="85">
        <v>0.5</v>
      </c>
      <c r="G172" s="86">
        <f>CENIK_št_1!K64</f>
        <v>46.53</v>
      </c>
      <c r="H172" s="84"/>
      <c r="I172" s="84"/>
      <c r="J172" s="87">
        <f>F172*G172</f>
        <v>23.265000000000001</v>
      </c>
    </row>
    <row r="173" spans="2:10" ht="15" customHeight="1" x14ac:dyDescent="0.25">
      <c r="B173" s="54"/>
      <c r="C173" s="55"/>
      <c r="D173" s="374"/>
      <c r="E173" s="89" t="s">
        <v>379</v>
      </c>
      <c r="F173" s="23">
        <v>0.5</v>
      </c>
      <c r="G173" s="24">
        <v>39.9</v>
      </c>
      <c r="H173" s="23"/>
      <c r="I173" s="356"/>
      <c r="J173" s="25">
        <f>F173*G173</f>
        <v>19.95</v>
      </c>
    </row>
    <row r="174" spans="2:10" ht="18" customHeight="1" thickBot="1" x14ac:dyDescent="0.3">
      <c r="B174" s="54"/>
      <c r="C174" s="55"/>
      <c r="D174" s="688" t="s">
        <v>182</v>
      </c>
      <c r="E174" s="689"/>
      <c r="F174" s="90"/>
      <c r="G174" s="86"/>
      <c r="H174" s="91"/>
      <c r="I174" s="91"/>
      <c r="J174" s="87"/>
    </row>
    <row r="175" spans="2:10" ht="15.75" thickBot="1" x14ac:dyDescent="0.3">
      <c r="B175" s="663"/>
      <c r="C175" s="664"/>
      <c r="D175" s="665" t="s">
        <v>190</v>
      </c>
      <c r="E175" s="666"/>
      <c r="F175" s="22"/>
      <c r="G175" s="60"/>
      <c r="H175" s="22"/>
      <c r="I175" s="22">
        <v>1</v>
      </c>
      <c r="J175" s="50">
        <f>SUM(J169:J174)</f>
        <v>89.970000000000013</v>
      </c>
    </row>
    <row r="176" spans="2:10" ht="15.75" thickBot="1" x14ac:dyDescent="0.3"/>
    <row r="177" spans="2:10" ht="15.75" thickBot="1" x14ac:dyDescent="0.3">
      <c r="B177" s="577" t="s">
        <v>90</v>
      </c>
      <c r="C177" s="579"/>
      <c r="D177" s="577" t="s">
        <v>128</v>
      </c>
      <c r="E177" s="578"/>
      <c r="F177" s="578"/>
      <c r="G177" s="578"/>
      <c r="H177" s="578"/>
      <c r="I177" s="578"/>
      <c r="J177" s="579"/>
    </row>
    <row r="178" spans="2:10" ht="23.25" thickBot="1" x14ac:dyDescent="0.3">
      <c r="B178" s="649" t="s">
        <v>36</v>
      </c>
      <c r="C178" s="650"/>
      <c r="D178" s="651" t="s">
        <v>37</v>
      </c>
      <c r="E178" s="652"/>
      <c r="F178" s="48" t="s">
        <v>167</v>
      </c>
      <c r="G178" s="48" t="s">
        <v>156</v>
      </c>
      <c r="H178" s="48" t="s">
        <v>172</v>
      </c>
      <c r="I178" s="61" t="s">
        <v>183</v>
      </c>
      <c r="J178" s="49" t="s">
        <v>41</v>
      </c>
    </row>
    <row r="179" spans="2:10" ht="37.5" customHeight="1" x14ac:dyDescent="0.25">
      <c r="B179" s="653" t="s">
        <v>92</v>
      </c>
      <c r="C179" s="654"/>
      <c r="D179" s="835" t="s">
        <v>393</v>
      </c>
      <c r="E179" s="836"/>
      <c r="F179" s="76"/>
      <c r="G179" s="76"/>
      <c r="H179" s="76"/>
      <c r="I179" s="76"/>
      <c r="J179" s="77"/>
    </row>
    <row r="180" spans="2:10" x14ac:dyDescent="0.25">
      <c r="B180" s="657"/>
      <c r="C180" s="658"/>
      <c r="D180" s="704" t="s">
        <v>168</v>
      </c>
      <c r="E180" s="660"/>
      <c r="F180" s="23"/>
      <c r="G180" s="52"/>
      <c r="H180" s="23"/>
      <c r="I180" s="23"/>
      <c r="J180" s="25"/>
    </row>
    <row r="181" spans="2:10" ht="27" customHeight="1" x14ac:dyDescent="0.25">
      <c r="B181" s="54"/>
      <c r="C181" s="55"/>
      <c r="D181" s="837" t="s">
        <v>342</v>
      </c>
      <c r="E181" s="838"/>
      <c r="F181" s="23">
        <v>0.25</v>
      </c>
      <c r="G181" s="24">
        <f>CENIK_št_1!K41</f>
        <v>21.02</v>
      </c>
      <c r="H181" s="23"/>
      <c r="I181" s="23"/>
      <c r="J181" s="25">
        <f>F181*G181</f>
        <v>5.2549999999999999</v>
      </c>
    </row>
    <row r="182" spans="2:10" ht="16.5" customHeight="1" x14ac:dyDescent="0.25">
      <c r="B182" s="54"/>
      <c r="C182" s="55"/>
      <c r="D182" s="837" t="s">
        <v>325</v>
      </c>
      <c r="E182" s="838"/>
      <c r="F182" s="23">
        <v>2</v>
      </c>
      <c r="G182" s="24">
        <f>CENIK_št_1!K40</f>
        <v>20.75</v>
      </c>
      <c r="H182" s="23"/>
      <c r="I182" s="23"/>
      <c r="J182" s="25">
        <f>F182*G182</f>
        <v>41.5</v>
      </c>
    </row>
    <row r="183" spans="2:10" x14ac:dyDescent="0.25">
      <c r="B183" s="58"/>
      <c r="C183" s="59"/>
      <c r="D183" s="688" t="s">
        <v>169</v>
      </c>
      <c r="E183" s="689"/>
      <c r="F183" s="27"/>
      <c r="G183" s="74"/>
      <c r="H183" s="27"/>
      <c r="I183" s="27"/>
      <c r="J183" s="73"/>
    </row>
    <row r="184" spans="2:10" ht="24" customHeight="1" x14ac:dyDescent="0.25">
      <c r="B184" s="58"/>
      <c r="C184" s="59"/>
      <c r="D184" s="850" t="s">
        <v>318</v>
      </c>
      <c r="E184" s="851"/>
      <c r="F184" s="85">
        <v>0.5</v>
      </c>
      <c r="G184" s="86">
        <f>CENIK_št_1!K64</f>
        <v>46.53</v>
      </c>
      <c r="H184" s="84"/>
      <c r="I184" s="84"/>
      <c r="J184" s="87">
        <f>F184*G184</f>
        <v>23.265000000000001</v>
      </c>
    </row>
    <row r="185" spans="2:10" ht="15.75" thickBot="1" x14ac:dyDescent="0.3">
      <c r="B185" s="78"/>
      <c r="C185" s="79"/>
      <c r="D185" s="80"/>
      <c r="E185" s="81"/>
      <c r="F185" s="82"/>
      <c r="G185" s="75"/>
      <c r="H185" s="82"/>
      <c r="I185" s="82"/>
      <c r="J185" s="83"/>
    </row>
    <row r="186" spans="2:10" ht="15.75" thickBot="1" x14ac:dyDescent="0.3">
      <c r="B186" s="663"/>
      <c r="C186" s="664"/>
      <c r="D186" s="665" t="s">
        <v>190</v>
      </c>
      <c r="E186" s="666"/>
      <c r="F186" s="22"/>
      <c r="G186" s="60"/>
      <c r="H186" s="22"/>
      <c r="I186" s="22">
        <v>1</v>
      </c>
      <c r="J186" s="50">
        <f>SUM(J181:J185)</f>
        <v>70.02000000000001</v>
      </c>
    </row>
    <row r="187" spans="2:10" ht="15.75" thickBot="1" x14ac:dyDescent="0.3"/>
    <row r="188" spans="2:10" ht="15.75" thickBot="1" x14ac:dyDescent="0.3">
      <c r="B188" s="577" t="s">
        <v>90</v>
      </c>
      <c r="C188" s="579"/>
      <c r="D188" s="577" t="s">
        <v>128</v>
      </c>
      <c r="E188" s="578"/>
      <c r="F188" s="578"/>
      <c r="G188" s="578"/>
      <c r="H188" s="578"/>
      <c r="I188" s="578"/>
      <c r="J188" s="579"/>
    </row>
    <row r="189" spans="2:10" ht="23.25" thickBot="1" x14ac:dyDescent="0.3">
      <c r="B189" s="649" t="s">
        <v>36</v>
      </c>
      <c r="C189" s="650"/>
      <c r="D189" s="651" t="s">
        <v>37</v>
      </c>
      <c r="E189" s="652"/>
      <c r="F189" s="48" t="s">
        <v>167</v>
      </c>
      <c r="G189" s="48" t="s">
        <v>156</v>
      </c>
      <c r="H189" s="48" t="s">
        <v>172</v>
      </c>
      <c r="I189" s="61" t="s">
        <v>183</v>
      </c>
      <c r="J189" s="49" t="s">
        <v>41</v>
      </c>
    </row>
    <row r="190" spans="2:10" ht="25.5" customHeight="1" x14ac:dyDescent="0.25">
      <c r="B190" s="653" t="s">
        <v>93</v>
      </c>
      <c r="C190" s="654"/>
      <c r="D190" s="835" t="s">
        <v>392</v>
      </c>
      <c r="E190" s="836"/>
      <c r="F190" s="76"/>
      <c r="G190" s="76"/>
      <c r="H190" s="76"/>
      <c r="I190" s="76"/>
      <c r="J190" s="77"/>
    </row>
    <row r="191" spans="2:10" x14ac:dyDescent="0.25">
      <c r="B191" s="657"/>
      <c r="C191" s="658"/>
      <c r="D191" s="704" t="s">
        <v>168</v>
      </c>
      <c r="E191" s="660"/>
      <c r="F191" s="23"/>
      <c r="G191" s="52"/>
      <c r="H191" s="23"/>
      <c r="I191" s="23"/>
      <c r="J191" s="25"/>
    </row>
    <row r="192" spans="2:10" x14ac:dyDescent="0.25">
      <c r="B192" s="54"/>
      <c r="C192" s="55"/>
      <c r="D192" s="837" t="s">
        <v>342</v>
      </c>
      <c r="E192" s="838"/>
      <c r="F192" s="23">
        <v>0.15</v>
      </c>
      <c r="G192" s="24">
        <f>G181</f>
        <v>21.02</v>
      </c>
      <c r="H192" s="23"/>
      <c r="I192" s="23"/>
      <c r="J192" s="25">
        <f>F192*G192</f>
        <v>3.153</v>
      </c>
    </row>
    <row r="193" spans="2:10" x14ac:dyDescent="0.25">
      <c r="B193" s="54"/>
      <c r="C193" s="55"/>
      <c r="D193" s="841" t="s">
        <v>325</v>
      </c>
      <c r="E193" s="842"/>
      <c r="F193" s="23">
        <v>0.75</v>
      </c>
      <c r="G193" s="24">
        <f>G182</f>
        <v>20.75</v>
      </c>
      <c r="H193" s="23"/>
      <c r="I193" s="23"/>
      <c r="J193" s="25">
        <f>F193*G193</f>
        <v>15.5625</v>
      </c>
    </row>
    <row r="194" spans="2:10" x14ac:dyDescent="0.25">
      <c r="B194" s="58"/>
      <c r="C194" s="59"/>
      <c r="D194" s="688" t="s">
        <v>169</v>
      </c>
      <c r="E194" s="689"/>
      <c r="F194" s="27"/>
      <c r="G194" s="74"/>
      <c r="H194" s="27"/>
      <c r="I194" s="27"/>
      <c r="J194" s="73"/>
    </row>
    <row r="195" spans="2:10" x14ac:dyDescent="0.25">
      <c r="B195" s="58"/>
      <c r="C195" s="59"/>
      <c r="D195" s="776" t="str">
        <f>CENIK_št_1!B63</f>
        <v>Tovorno vozilo do 3,5 t sdm</v>
      </c>
      <c r="E195" s="724"/>
      <c r="F195" s="85">
        <v>0.5</v>
      </c>
      <c r="G195" s="86">
        <f>CENIK_št_1!K63</f>
        <v>33.81</v>
      </c>
      <c r="H195" s="84"/>
      <c r="I195" s="84"/>
      <c r="J195" s="87">
        <f>F195*G195</f>
        <v>16.905000000000001</v>
      </c>
    </row>
    <row r="196" spans="2:10" ht="15.75" thickBot="1" x14ac:dyDescent="0.3">
      <c r="B196" s="78"/>
      <c r="C196" s="79"/>
      <c r="D196" s="80"/>
      <c r="E196" s="81"/>
      <c r="F196" s="82"/>
      <c r="G196" s="75"/>
      <c r="H196" s="82"/>
      <c r="I196" s="82"/>
      <c r="J196" s="83"/>
    </row>
    <row r="197" spans="2:10" ht="15.75" thickBot="1" x14ac:dyDescent="0.3">
      <c r="B197" s="663"/>
      <c r="C197" s="664"/>
      <c r="D197" s="665" t="s">
        <v>345</v>
      </c>
      <c r="E197" s="666"/>
      <c r="F197" s="22"/>
      <c r="G197" s="60"/>
      <c r="H197" s="22"/>
      <c r="I197" s="22">
        <v>1</v>
      </c>
      <c r="J197" s="50">
        <f>SUM(J192:J196)</f>
        <v>35.6205</v>
      </c>
    </row>
    <row r="198" spans="2:10" ht="15.75" thickBot="1" x14ac:dyDescent="0.3"/>
    <row r="199" spans="2:10" ht="15.75" thickBot="1" x14ac:dyDescent="0.3">
      <c r="B199" s="577" t="s">
        <v>90</v>
      </c>
      <c r="C199" s="579"/>
      <c r="D199" s="577" t="s">
        <v>128</v>
      </c>
      <c r="E199" s="578"/>
      <c r="F199" s="578"/>
      <c r="G199" s="578"/>
      <c r="H199" s="578"/>
      <c r="I199" s="578"/>
      <c r="J199" s="579"/>
    </row>
    <row r="200" spans="2:10" ht="23.25" thickBot="1" x14ac:dyDescent="0.3">
      <c r="B200" s="649" t="s">
        <v>36</v>
      </c>
      <c r="C200" s="650"/>
      <c r="D200" s="651" t="s">
        <v>37</v>
      </c>
      <c r="E200" s="652"/>
      <c r="F200" s="48" t="s">
        <v>167</v>
      </c>
      <c r="G200" s="48" t="s">
        <v>156</v>
      </c>
      <c r="H200" s="48" t="s">
        <v>172</v>
      </c>
      <c r="I200" s="61" t="s">
        <v>183</v>
      </c>
      <c r="J200" s="49" t="s">
        <v>41</v>
      </c>
    </row>
    <row r="201" spans="2:10" ht="37.5" customHeight="1" x14ac:dyDescent="0.25">
      <c r="B201" s="653" t="s">
        <v>94</v>
      </c>
      <c r="C201" s="654"/>
      <c r="D201" s="835" t="s">
        <v>396</v>
      </c>
      <c r="E201" s="836"/>
      <c r="F201" s="76"/>
      <c r="G201" s="76"/>
      <c r="H201" s="76"/>
      <c r="I201" s="76"/>
      <c r="J201" s="77"/>
    </row>
    <row r="202" spans="2:10" x14ac:dyDescent="0.25">
      <c r="B202" s="657"/>
      <c r="C202" s="658"/>
      <c r="D202" s="704" t="s">
        <v>168</v>
      </c>
      <c r="E202" s="660"/>
      <c r="F202" s="23"/>
      <c r="G202" s="52"/>
      <c r="H202" s="23"/>
      <c r="I202" s="23"/>
      <c r="J202" s="25"/>
    </row>
    <row r="203" spans="2:10" x14ac:dyDescent="0.25">
      <c r="B203" s="54"/>
      <c r="C203" s="55"/>
      <c r="D203" s="837" t="s">
        <v>342</v>
      </c>
      <c r="E203" s="838"/>
      <c r="F203" s="23">
        <v>2</v>
      </c>
      <c r="G203" s="24">
        <f>G192</f>
        <v>21.02</v>
      </c>
      <c r="H203" s="23"/>
      <c r="I203" s="23"/>
      <c r="J203" s="25">
        <f>F203*G203</f>
        <v>42.04</v>
      </c>
    </row>
    <row r="204" spans="2:10" x14ac:dyDescent="0.25">
      <c r="B204" s="54"/>
      <c r="C204" s="55"/>
      <c r="D204" s="841" t="s">
        <v>325</v>
      </c>
      <c r="E204" s="842"/>
      <c r="F204" s="23">
        <v>10</v>
      </c>
      <c r="G204" s="24">
        <f>G193</f>
        <v>20.75</v>
      </c>
      <c r="H204" s="23"/>
      <c r="I204" s="23"/>
      <c r="J204" s="25">
        <f>F204*G204</f>
        <v>207.5</v>
      </c>
    </row>
    <row r="205" spans="2:10" x14ac:dyDescent="0.25">
      <c r="B205" s="58"/>
      <c r="C205" s="59"/>
      <c r="D205" s="688" t="s">
        <v>169</v>
      </c>
      <c r="E205" s="689"/>
      <c r="F205" s="27"/>
      <c r="G205" s="74"/>
      <c r="H205" s="27"/>
      <c r="I205" s="27"/>
      <c r="J205" s="73"/>
    </row>
    <row r="206" spans="2:10" x14ac:dyDescent="0.25">
      <c r="B206" s="58"/>
      <c r="C206" s="59"/>
      <c r="D206" s="776" t="s">
        <v>13</v>
      </c>
      <c r="E206" s="724"/>
      <c r="F206" s="85">
        <v>3</v>
      </c>
      <c r="G206" s="86">
        <f>CENIK_št_1!K63</f>
        <v>33.81</v>
      </c>
      <c r="H206" s="84"/>
      <c r="I206" s="84"/>
      <c r="J206" s="87">
        <f>F206*G206</f>
        <v>101.43</v>
      </c>
    </row>
    <row r="207" spans="2:10" x14ac:dyDescent="0.25">
      <c r="B207" s="58"/>
      <c r="C207" s="59"/>
      <c r="D207" s="88"/>
      <c r="E207" s="378" t="s">
        <v>397</v>
      </c>
      <c r="F207" s="85"/>
      <c r="G207" s="86"/>
      <c r="H207" s="84"/>
      <c r="I207" s="84"/>
      <c r="J207" s="97"/>
    </row>
    <row r="208" spans="2:10" ht="15.75" thickBot="1" x14ac:dyDescent="0.3">
      <c r="B208" s="78"/>
      <c r="C208" s="79"/>
      <c r="D208" s="80"/>
      <c r="E208" s="377" t="str">
        <f>CENIK_št_1!B127</f>
        <v>Vibracijska igla za beton</v>
      </c>
      <c r="F208" s="82">
        <v>5</v>
      </c>
      <c r="G208" s="75">
        <f>CENIK_št_1!K127</f>
        <v>15.09375</v>
      </c>
      <c r="H208" s="82"/>
      <c r="I208" s="82"/>
      <c r="J208" s="83">
        <f>F208*G208</f>
        <v>75.46875</v>
      </c>
    </row>
    <row r="209" spans="2:10" ht="15.75" thickBot="1" x14ac:dyDescent="0.3">
      <c r="B209" s="663"/>
      <c r="C209" s="664"/>
      <c r="D209" s="665" t="s">
        <v>186</v>
      </c>
      <c r="E209" s="666"/>
      <c r="F209" s="22">
        <v>6</v>
      </c>
      <c r="G209" s="60"/>
      <c r="H209" s="22"/>
      <c r="I209" s="22">
        <v>1</v>
      </c>
      <c r="J209" s="50">
        <f>SUM(J203:J208)/F209</f>
        <v>71.073125000000005</v>
      </c>
    </row>
    <row r="210" spans="2:10" x14ac:dyDescent="0.25">
      <c r="B210" s="183"/>
      <c r="C210" s="183"/>
      <c r="D210" s="184"/>
      <c r="E210" s="184"/>
      <c r="F210" s="185"/>
      <c r="G210" s="186"/>
      <c r="H210" s="185"/>
      <c r="I210" s="185"/>
      <c r="J210" s="187"/>
    </row>
    <row r="211" spans="2:10" ht="15.75" thickBot="1" x14ac:dyDescent="0.3">
      <c r="B211" s="57"/>
      <c r="C211" s="57"/>
      <c r="D211" s="57"/>
      <c r="E211" s="57"/>
      <c r="F211" s="57"/>
      <c r="G211" s="57"/>
      <c r="H211" s="57"/>
      <c r="I211" s="57"/>
      <c r="J211" s="57"/>
    </row>
    <row r="212" spans="2:10" ht="15.75" thickTop="1" x14ac:dyDescent="0.25"/>
    <row r="213" spans="2:10" ht="15.75" thickBot="1" x14ac:dyDescent="0.3"/>
    <row r="214" spans="2:10" ht="15.75" thickBot="1" x14ac:dyDescent="0.3">
      <c r="B214" s="577" t="s">
        <v>130</v>
      </c>
      <c r="C214" s="579"/>
      <c r="D214" s="577" t="s">
        <v>129</v>
      </c>
      <c r="E214" s="578"/>
      <c r="F214" s="578"/>
      <c r="G214" s="578"/>
      <c r="H214" s="578"/>
      <c r="I214" s="578"/>
      <c r="J214" s="579"/>
    </row>
    <row r="215" spans="2:10" ht="23.25" thickBot="1" x14ac:dyDescent="0.3">
      <c r="B215" s="649" t="s">
        <v>36</v>
      </c>
      <c r="C215" s="650"/>
      <c r="D215" s="651" t="s">
        <v>37</v>
      </c>
      <c r="E215" s="652"/>
      <c r="F215" s="48" t="s">
        <v>167</v>
      </c>
      <c r="G215" s="48" t="s">
        <v>156</v>
      </c>
      <c r="H215" s="48" t="s">
        <v>172</v>
      </c>
      <c r="I215" s="61" t="s">
        <v>183</v>
      </c>
      <c r="J215" s="49" t="s">
        <v>41</v>
      </c>
    </row>
    <row r="216" spans="2:10" ht="36" customHeight="1" x14ac:dyDescent="0.25">
      <c r="B216" s="653" t="s">
        <v>132</v>
      </c>
      <c r="C216" s="654"/>
      <c r="D216" s="835" t="s">
        <v>399</v>
      </c>
      <c r="E216" s="836"/>
      <c r="F216" s="76"/>
      <c r="G216" s="76"/>
      <c r="H216" s="76"/>
      <c r="I216" s="76"/>
      <c r="J216" s="77"/>
    </row>
    <row r="217" spans="2:10" x14ac:dyDescent="0.25">
      <c r="B217" s="657"/>
      <c r="C217" s="658"/>
      <c r="D217" s="704" t="s">
        <v>168</v>
      </c>
      <c r="E217" s="660"/>
      <c r="F217" s="23"/>
      <c r="G217" s="52"/>
      <c r="H217" s="23"/>
      <c r="I217" s="23"/>
      <c r="J217" s="25"/>
    </row>
    <row r="218" spans="2:10" x14ac:dyDescent="0.25">
      <c r="B218" s="54"/>
      <c r="C218" s="55"/>
      <c r="D218" s="841" t="str">
        <f>CENIK_št_1!B41</f>
        <v>Delovodja, Skupinovodja, Preglednik, Dispečer, Voznik, Strojnik</v>
      </c>
      <c r="E218" s="769"/>
      <c r="F218" s="23">
        <v>2</v>
      </c>
      <c r="G218" s="24">
        <f>CENIK_št_1!K41</f>
        <v>21.02</v>
      </c>
      <c r="H218" s="23"/>
      <c r="I218" s="23"/>
      <c r="J218" s="25">
        <f>F218*G218</f>
        <v>42.04</v>
      </c>
    </row>
    <row r="219" spans="2:10" x14ac:dyDescent="0.25">
      <c r="B219" s="54"/>
      <c r="C219" s="55"/>
      <c r="D219" s="349"/>
      <c r="E219" s="379" t="str">
        <f>CENIK_št_1!B40</f>
        <v xml:space="preserve">Komunalni delavec </v>
      </c>
      <c r="F219" s="23">
        <v>5</v>
      </c>
      <c r="G219" s="24">
        <f>CENIK_št_1!K40</f>
        <v>20.75</v>
      </c>
      <c r="H219" s="23"/>
      <c r="I219" s="23"/>
      <c r="J219" s="73">
        <f>F219*G219</f>
        <v>103.75</v>
      </c>
    </row>
    <row r="220" spans="2:10" x14ac:dyDescent="0.25">
      <c r="B220" s="58"/>
      <c r="C220" s="59"/>
      <c r="D220" s="688" t="s">
        <v>169</v>
      </c>
      <c r="E220" s="689"/>
      <c r="F220" s="27"/>
      <c r="G220" s="74"/>
      <c r="H220" s="27"/>
      <c r="I220" s="27"/>
      <c r="J220" s="73"/>
    </row>
    <row r="221" spans="2:10" x14ac:dyDescent="0.25">
      <c r="B221" s="58"/>
      <c r="C221" s="59"/>
      <c r="D221" s="776" t="str">
        <f>CENIK_št_1!B64</f>
        <v>Tovorno vozilo do 15 t sdm</v>
      </c>
      <c r="E221" s="724"/>
      <c r="F221" s="85">
        <v>2.5</v>
      </c>
      <c r="G221" s="86">
        <f>CENIK_št_1!K64</f>
        <v>46.53</v>
      </c>
      <c r="H221" s="84"/>
      <c r="I221" s="84"/>
      <c r="J221" s="87">
        <f>F221*G221</f>
        <v>116.325</v>
      </c>
    </row>
    <row r="222" spans="2:10" x14ac:dyDescent="0.25">
      <c r="B222" s="54"/>
      <c r="C222" s="55"/>
      <c r="D222" s="88"/>
      <c r="E222" s="89" t="str">
        <f>CENIK_št_1!B87</f>
        <v>Vibracijski valjar 1,5 t</v>
      </c>
      <c r="F222" s="90">
        <v>1.5</v>
      </c>
      <c r="G222" s="86">
        <f>CENIK_št_1!K87</f>
        <v>35.06</v>
      </c>
      <c r="H222" s="91"/>
      <c r="I222" s="91"/>
      <c r="J222" s="87">
        <f>F222*G222</f>
        <v>52.59</v>
      </c>
    </row>
    <row r="223" spans="2:10" ht="22.5" customHeight="1" x14ac:dyDescent="0.25">
      <c r="B223" s="54"/>
      <c r="C223" s="55"/>
      <c r="D223" s="380"/>
      <c r="E223" s="381" t="str">
        <f>CENIK_št_1!B63</f>
        <v>Tovorno vozilo do 3,5 t sdm</v>
      </c>
      <c r="F223" s="90">
        <v>2.5</v>
      </c>
      <c r="G223" s="86">
        <f>CENIK_št_1!K63</f>
        <v>33.81</v>
      </c>
      <c r="H223" s="91"/>
      <c r="I223" s="91"/>
      <c r="J223" s="87">
        <f>F223*G223</f>
        <v>84.525000000000006</v>
      </c>
    </row>
    <row r="224" spans="2:10" ht="22.5" customHeight="1" thickBot="1" x14ac:dyDescent="0.3">
      <c r="B224" s="350"/>
      <c r="C224" s="351"/>
      <c r="D224" s="845" t="str">
        <f>CENIK_št_1!B114</f>
        <v>Tovorna prikolica do 3,5 t sdm</v>
      </c>
      <c r="E224" s="846"/>
      <c r="F224" s="376">
        <v>2.5</v>
      </c>
      <c r="G224" s="93">
        <f>CENIK_št_1!K114</f>
        <v>7.1250000000000009</v>
      </c>
      <c r="H224" s="94"/>
      <c r="I224" s="94"/>
      <c r="J224" s="95">
        <f>F224*G224</f>
        <v>17.812500000000004</v>
      </c>
    </row>
    <row r="225" spans="2:10" ht="15.75" thickBot="1" x14ac:dyDescent="0.3">
      <c r="B225" s="663"/>
      <c r="C225" s="664"/>
      <c r="D225" s="665" t="s">
        <v>190</v>
      </c>
      <c r="E225" s="666"/>
      <c r="F225" s="22">
        <v>15</v>
      </c>
      <c r="G225" s="60"/>
      <c r="H225" s="22"/>
      <c r="I225" s="22">
        <v>1</v>
      </c>
      <c r="J225" s="50">
        <f>SUM(J218:J224)/F225</f>
        <v>27.802833333333336</v>
      </c>
    </row>
    <row r="226" spans="2:10" ht="15.75" thickBot="1" x14ac:dyDescent="0.3">
      <c r="B226" s="183"/>
      <c r="C226" s="183"/>
      <c r="D226" s="184"/>
      <c r="E226" s="184"/>
      <c r="F226" s="185"/>
      <c r="G226" s="186"/>
      <c r="H226" s="185"/>
      <c r="I226" s="185"/>
      <c r="J226" s="187"/>
    </row>
    <row r="227" spans="2:10" ht="15.75" thickBot="1" x14ac:dyDescent="0.3">
      <c r="B227" s="577" t="s">
        <v>130</v>
      </c>
      <c r="C227" s="579"/>
      <c r="D227" s="577" t="s">
        <v>129</v>
      </c>
      <c r="E227" s="578"/>
      <c r="F227" s="578"/>
      <c r="G227" s="578"/>
      <c r="H227" s="578"/>
      <c r="I227" s="578"/>
      <c r="J227" s="579"/>
    </row>
    <row r="228" spans="2:10" ht="23.25" thickBot="1" x14ac:dyDescent="0.3">
      <c r="B228" s="649" t="s">
        <v>36</v>
      </c>
      <c r="C228" s="650"/>
      <c r="D228" s="651" t="s">
        <v>37</v>
      </c>
      <c r="E228" s="652"/>
      <c r="F228" s="48" t="s">
        <v>167</v>
      </c>
      <c r="G228" s="48" t="s">
        <v>156</v>
      </c>
      <c r="H228" s="48" t="s">
        <v>172</v>
      </c>
      <c r="I228" s="61" t="s">
        <v>183</v>
      </c>
      <c r="J228" s="49" t="s">
        <v>41</v>
      </c>
    </row>
    <row r="229" spans="2:10" ht="32.25" customHeight="1" x14ac:dyDescent="0.25">
      <c r="B229" s="653" t="s">
        <v>133</v>
      </c>
      <c r="C229" s="654"/>
      <c r="D229" s="835" t="s">
        <v>403</v>
      </c>
      <c r="E229" s="836"/>
      <c r="F229" s="76"/>
      <c r="G229" s="76"/>
      <c r="H229" s="76"/>
      <c r="I229" s="76"/>
      <c r="J229" s="77"/>
    </row>
    <row r="230" spans="2:10" x14ac:dyDescent="0.25">
      <c r="B230" s="657"/>
      <c r="C230" s="658"/>
      <c r="D230" s="704" t="s">
        <v>168</v>
      </c>
      <c r="E230" s="660"/>
      <c r="F230" s="23"/>
      <c r="G230" s="52"/>
      <c r="H230" s="23"/>
      <c r="I230" s="23"/>
      <c r="J230" s="25"/>
    </row>
    <row r="231" spans="2:10" ht="27.75" customHeight="1" x14ac:dyDescent="0.25">
      <c r="B231" s="54"/>
      <c r="C231" s="55"/>
      <c r="D231" s="841" t="s">
        <v>342</v>
      </c>
      <c r="E231" s="769"/>
      <c r="F231" s="23">
        <v>3</v>
      </c>
      <c r="G231" s="24">
        <f>CENIK_št_1!K41</f>
        <v>21.02</v>
      </c>
      <c r="H231" s="23"/>
      <c r="I231" s="23"/>
      <c r="J231" s="25">
        <f>F231*G231</f>
        <v>63.06</v>
      </c>
    </row>
    <row r="232" spans="2:10" x14ac:dyDescent="0.25">
      <c r="B232" s="54"/>
      <c r="C232" s="55"/>
      <c r="D232" s="372"/>
      <c r="E232" s="379" t="s">
        <v>325</v>
      </c>
      <c r="F232" s="23">
        <v>10</v>
      </c>
      <c r="G232" s="24">
        <f>CENIK_št_1!K40</f>
        <v>20.75</v>
      </c>
      <c r="H232" s="23"/>
      <c r="I232" s="23"/>
      <c r="J232" s="73">
        <f>F232*G232</f>
        <v>207.5</v>
      </c>
    </row>
    <row r="233" spans="2:10" x14ac:dyDescent="0.25">
      <c r="B233" s="58"/>
      <c r="C233" s="59"/>
      <c r="D233" s="688" t="s">
        <v>169</v>
      </c>
      <c r="E233" s="689"/>
      <c r="F233" s="27"/>
      <c r="G233" s="74"/>
      <c r="H233" s="27"/>
      <c r="I233" s="27"/>
      <c r="J233" s="73"/>
    </row>
    <row r="234" spans="2:10" x14ac:dyDescent="0.25">
      <c r="B234" s="58"/>
      <c r="C234" s="59"/>
      <c r="D234" s="776" t="str">
        <f>CENIK_št_1!B64</f>
        <v>Tovorno vozilo do 15 t sdm</v>
      </c>
      <c r="E234" s="724"/>
      <c r="F234" s="85">
        <v>4</v>
      </c>
      <c r="G234" s="86">
        <f>CENIK_št_1!K64</f>
        <v>46.53</v>
      </c>
      <c r="H234" s="84"/>
      <c r="I234" s="84"/>
      <c r="J234" s="87">
        <f>F234*G234</f>
        <v>186.12</v>
      </c>
    </row>
    <row r="235" spans="2:10" x14ac:dyDescent="0.25">
      <c r="B235" s="54"/>
      <c r="C235" s="55"/>
      <c r="D235" s="88"/>
      <c r="E235" s="89" t="str">
        <f>CENIK_št_1!B87</f>
        <v>Vibracijski valjar 1,5 t</v>
      </c>
      <c r="F235" s="90">
        <v>2.5</v>
      </c>
      <c r="G235" s="86">
        <f>CENIK_št_1!K87</f>
        <v>35.06</v>
      </c>
      <c r="H235" s="91"/>
      <c r="I235" s="91"/>
      <c r="J235" s="87">
        <f>F235*G235</f>
        <v>87.65</v>
      </c>
    </row>
    <row r="236" spans="2:10" ht="26.25" x14ac:dyDescent="0.25">
      <c r="B236" s="54"/>
      <c r="C236" s="55"/>
      <c r="D236" s="380"/>
      <c r="E236" s="381" t="str">
        <f>CENIK_št_1!B63</f>
        <v>Tovorno vozilo do 3,5 t sdm</v>
      </c>
      <c r="F236" s="90">
        <v>4</v>
      </c>
      <c r="G236" s="86">
        <f>CENIK_št_1!K63</f>
        <v>33.81</v>
      </c>
      <c r="H236" s="91"/>
      <c r="I236" s="91"/>
      <c r="J236" s="87">
        <f>F236*G236</f>
        <v>135.24</v>
      </c>
    </row>
    <row r="237" spans="2:10" ht="15.75" thickBot="1" x14ac:dyDescent="0.3">
      <c r="B237" s="350"/>
      <c r="C237" s="351"/>
      <c r="D237" s="845" t="str">
        <f>CENIK_št_1!B114</f>
        <v>Tovorna prikolica do 3,5 t sdm</v>
      </c>
      <c r="E237" s="846"/>
      <c r="F237" s="376">
        <v>4</v>
      </c>
      <c r="G237" s="93">
        <f>CENIK_št_1!K114</f>
        <v>7.1250000000000009</v>
      </c>
      <c r="H237" s="94"/>
      <c r="I237" s="94"/>
      <c r="J237" s="95">
        <f>F237*G237</f>
        <v>28.500000000000004</v>
      </c>
    </row>
    <row r="238" spans="2:10" ht="15.75" thickBot="1" x14ac:dyDescent="0.3">
      <c r="B238" s="663"/>
      <c r="C238" s="664"/>
      <c r="D238" s="665" t="s">
        <v>190</v>
      </c>
      <c r="E238" s="666"/>
      <c r="F238" s="22">
        <v>30</v>
      </c>
      <c r="G238" s="60"/>
      <c r="H238" s="22"/>
      <c r="I238" s="22">
        <v>1</v>
      </c>
      <c r="J238" s="50">
        <f>SUM(J231:J237)/F238</f>
        <v>23.602333333333334</v>
      </c>
    </row>
    <row r="239" spans="2:10" ht="15.75" thickBot="1" x14ac:dyDescent="0.3">
      <c r="B239" s="183"/>
      <c r="C239" s="183"/>
      <c r="D239" s="184"/>
      <c r="E239" s="184"/>
      <c r="F239" s="185"/>
      <c r="G239" s="186"/>
      <c r="H239" s="185"/>
      <c r="I239" s="185"/>
      <c r="J239" s="187"/>
    </row>
    <row r="240" spans="2:10" ht="15.75" thickBot="1" x14ac:dyDescent="0.3">
      <c r="B240" s="577" t="s">
        <v>130</v>
      </c>
      <c r="C240" s="579"/>
      <c r="D240" s="577" t="s">
        <v>129</v>
      </c>
      <c r="E240" s="578"/>
      <c r="F240" s="578"/>
      <c r="G240" s="578"/>
      <c r="H240" s="578"/>
      <c r="I240" s="578"/>
      <c r="J240" s="579"/>
    </row>
    <row r="241" spans="2:10" ht="23.25" thickBot="1" x14ac:dyDescent="0.3">
      <c r="B241" s="649" t="s">
        <v>36</v>
      </c>
      <c r="C241" s="650"/>
      <c r="D241" s="651" t="s">
        <v>37</v>
      </c>
      <c r="E241" s="652"/>
      <c r="F241" s="48" t="s">
        <v>167</v>
      </c>
      <c r="G241" s="48" t="s">
        <v>156</v>
      </c>
      <c r="H241" s="48" t="s">
        <v>172</v>
      </c>
      <c r="I241" s="61" t="s">
        <v>183</v>
      </c>
      <c r="J241" s="49" t="s">
        <v>41</v>
      </c>
    </row>
    <row r="242" spans="2:10" ht="33.75" customHeight="1" x14ac:dyDescent="0.25">
      <c r="B242" s="653" t="s">
        <v>134</v>
      </c>
      <c r="C242" s="654"/>
      <c r="D242" s="835" t="s">
        <v>401</v>
      </c>
      <c r="E242" s="836"/>
      <c r="F242" s="76"/>
      <c r="G242" s="76"/>
      <c r="H242" s="76"/>
      <c r="I242" s="76"/>
      <c r="J242" s="77"/>
    </row>
    <row r="243" spans="2:10" x14ac:dyDescent="0.25">
      <c r="B243" s="657"/>
      <c r="C243" s="658"/>
      <c r="D243" s="704" t="s">
        <v>168</v>
      </c>
      <c r="E243" s="660"/>
      <c r="F243" s="23"/>
      <c r="G243" s="52"/>
      <c r="H243" s="23"/>
      <c r="I243" s="23"/>
      <c r="J243" s="25"/>
    </row>
    <row r="244" spans="2:10" ht="33" customHeight="1" x14ac:dyDescent="0.25">
      <c r="B244" s="54"/>
      <c r="C244" s="55"/>
      <c r="D244" s="841" t="s">
        <v>342</v>
      </c>
      <c r="E244" s="769"/>
      <c r="F244" s="23">
        <v>5</v>
      </c>
      <c r="G244" s="24">
        <f>CENIK_št_1!K41</f>
        <v>21.02</v>
      </c>
      <c r="H244" s="23"/>
      <c r="I244" s="23"/>
      <c r="J244" s="25">
        <f>F244*G244</f>
        <v>105.1</v>
      </c>
    </row>
    <row r="245" spans="2:10" x14ac:dyDescent="0.25">
      <c r="B245" s="54"/>
      <c r="C245" s="55"/>
      <c r="D245" s="372"/>
      <c r="E245" s="379" t="s">
        <v>325</v>
      </c>
      <c r="F245" s="23">
        <v>14</v>
      </c>
      <c r="G245" s="24">
        <f>CENIK_št_1!K40</f>
        <v>20.75</v>
      </c>
      <c r="H245" s="23"/>
      <c r="I245" s="23"/>
      <c r="J245" s="73">
        <f>F245*G245</f>
        <v>290.5</v>
      </c>
    </row>
    <row r="246" spans="2:10" x14ac:dyDescent="0.25">
      <c r="B246" s="58"/>
      <c r="C246" s="59"/>
      <c r="D246" s="688" t="s">
        <v>169</v>
      </c>
      <c r="E246" s="689"/>
      <c r="F246" s="27"/>
      <c r="G246" s="74"/>
      <c r="H246" s="27"/>
      <c r="I246" s="27"/>
      <c r="J246" s="73"/>
    </row>
    <row r="247" spans="2:10" x14ac:dyDescent="0.25">
      <c r="B247" s="58"/>
      <c r="C247" s="59"/>
      <c r="D247" s="776" t="str">
        <f>CENIK_št_1!B64</f>
        <v>Tovorno vozilo do 15 t sdm</v>
      </c>
      <c r="E247" s="724"/>
      <c r="F247" s="85">
        <v>6</v>
      </c>
      <c r="G247" s="86">
        <f>CENIK_št_1!K64</f>
        <v>46.53</v>
      </c>
      <c r="H247" s="84"/>
      <c r="I247" s="84"/>
      <c r="J247" s="87">
        <f>F247*G247</f>
        <v>279.18</v>
      </c>
    </row>
    <row r="248" spans="2:10" x14ac:dyDescent="0.25">
      <c r="B248" s="54"/>
      <c r="C248" s="55"/>
      <c r="D248" s="88"/>
      <c r="E248" s="89" t="str">
        <f>CENIK_št_1!B87</f>
        <v>Vibracijski valjar 1,5 t</v>
      </c>
      <c r="F248" s="90">
        <v>5</v>
      </c>
      <c r="G248" s="86">
        <f>CENIK_št_1!K87</f>
        <v>35.06</v>
      </c>
      <c r="H248" s="91"/>
      <c r="I248" s="91"/>
      <c r="J248" s="87">
        <f>F248*G248</f>
        <v>175.3</v>
      </c>
    </row>
    <row r="249" spans="2:10" x14ac:dyDescent="0.25">
      <c r="B249" s="54"/>
      <c r="C249" s="55"/>
      <c r="D249" s="88"/>
      <c r="E249" s="89" t="s">
        <v>378</v>
      </c>
      <c r="F249" s="90">
        <v>6</v>
      </c>
      <c r="G249" s="86">
        <v>35</v>
      </c>
      <c r="H249" s="91"/>
      <c r="I249" s="91"/>
      <c r="J249" s="87">
        <f>F249*G249</f>
        <v>210</v>
      </c>
    </row>
    <row r="250" spans="2:10" ht="26.25" x14ac:dyDescent="0.25">
      <c r="B250" s="54"/>
      <c r="C250" s="55"/>
      <c r="D250" s="380"/>
      <c r="E250" s="381" t="str">
        <f>CENIK_št_1!B63</f>
        <v>Tovorno vozilo do 3,5 t sdm</v>
      </c>
      <c r="F250" s="90">
        <v>6</v>
      </c>
      <c r="G250" s="86">
        <f>G236</f>
        <v>33.81</v>
      </c>
      <c r="H250" s="91"/>
      <c r="I250" s="91"/>
      <c r="J250" s="87">
        <f>F250*G250</f>
        <v>202.86</v>
      </c>
    </row>
    <row r="251" spans="2:10" ht="15.75" thickBot="1" x14ac:dyDescent="0.3">
      <c r="B251" s="350"/>
      <c r="C251" s="351"/>
      <c r="D251" s="845" t="str">
        <f>CENIK_št_1!B114</f>
        <v>Tovorna prikolica do 3,5 t sdm</v>
      </c>
      <c r="E251" s="846"/>
      <c r="F251" s="376">
        <v>6</v>
      </c>
      <c r="G251" s="93">
        <f>CENIK_št_1!K114</f>
        <v>7.1250000000000009</v>
      </c>
      <c r="H251" s="94"/>
      <c r="I251" s="94"/>
      <c r="J251" s="95">
        <f>F251*G251</f>
        <v>42.750000000000007</v>
      </c>
    </row>
    <row r="252" spans="2:10" ht="15.75" thickBot="1" x14ac:dyDescent="0.3">
      <c r="B252" s="663"/>
      <c r="C252" s="664"/>
      <c r="D252" s="665" t="s">
        <v>190</v>
      </c>
      <c r="E252" s="666"/>
      <c r="F252" s="22">
        <v>100</v>
      </c>
      <c r="G252" s="60"/>
      <c r="H252" s="22"/>
      <c r="I252" s="22">
        <v>1</v>
      </c>
      <c r="J252" s="50">
        <f>SUM(J244:J251)/F252</f>
        <v>13.056900000000001</v>
      </c>
    </row>
    <row r="253" spans="2:10" x14ac:dyDescent="0.25">
      <c r="B253" s="183"/>
      <c r="C253" s="183"/>
      <c r="D253" s="184"/>
      <c r="E253" s="184"/>
      <c r="F253" s="185"/>
      <c r="G253" s="186"/>
      <c r="H253" s="185"/>
      <c r="I253" s="185"/>
      <c r="J253" s="187"/>
    </row>
    <row r="254" spans="2:10" ht="15.75" thickBot="1" x14ac:dyDescent="0.3">
      <c r="B254" s="183"/>
      <c r="C254" s="183"/>
      <c r="D254" s="184"/>
      <c r="E254" s="184"/>
      <c r="F254" s="185"/>
      <c r="G254" s="186"/>
      <c r="H254" s="185"/>
      <c r="I254" s="185"/>
      <c r="J254" s="187"/>
    </row>
    <row r="255" spans="2:10" ht="15.75" thickBot="1" x14ac:dyDescent="0.3">
      <c r="B255" s="577" t="s">
        <v>130</v>
      </c>
      <c r="C255" s="579"/>
      <c r="D255" s="577" t="s">
        <v>129</v>
      </c>
      <c r="E255" s="578"/>
      <c r="F255" s="578"/>
      <c r="G255" s="578"/>
      <c r="H255" s="578"/>
      <c r="I255" s="578"/>
      <c r="J255" s="579"/>
    </row>
    <row r="256" spans="2:10" ht="26.25" customHeight="1" thickBot="1" x14ac:dyDescent="0.3">
      <c r="B256" s="649" t="s">
        <v>36</v>
      </c>
      <c r="C256" s="650"/>
      <c r="D256" s="651" t="s">
        <v>37</v>
      </c>
      <c r="E256" s="652"/>
      <c r="F256" s="48" t="s">
        <v>167</v>
      </c>
      <c r="G256" s="48" t="s">
        <v>156</v>
      </c>
      <c r="H256" s="48" t="s">
        <v>172</v>
      </c>
      <c r="I256" s="61" t="s">
        <v>183</v>
      </c>
      <c r="J256" s="49" t="s">
        <v>41</v>
      </c>
    </row>
    <row r="257" spans="2:10" ht="30.75" customHeight="1" x14ac:dyDescent="0.25">
      <c r="B257" s="653" t="s">
        <v>135</v>
      </c>
      <c r="C257" s="654"/>
      <c r="D257" s="835" t="s">
        <v>400</v>
      </c>
      <c r="E257" s="836"/>
      <c r="F257" s="76"/>
      <c r="G257" s="76"/>
      <c r="H257" s="76"/>
      <c r="I257" s="76"/>
      <c r="J257" s="77"/>
    </row>
    <row r="258" spans="2:10" x14ac:dyDescent="0.25">
      <c r="B258" s="657"/>
      <c r="C258" s="658"/>
      <c r="D258" s="704" t="s">
        <v>168</v>
      </c>
      <c r="E258" s="660"/>
      <c r="F258" s="23"/>
      <c r="G258" s="52"/>
      <c r="H258" s="23"/>
      <c r="I258" s="23"/>
      <c r="J258" s="25"/>
    </row>
    <row r="259" spans="2:10" ht="30" customHeight="1" x14ac:dyDescent="0.25">
      <c r="B259" s="54"/>
      <c r="C259" s="55"/>
      <c r="D259" s="841" t="s">
        <v>342</v>
      </c>
      <c r="E259" s="842"/>
      <c r="F259" s="23">
        <v>2</v>
      </c>
      <c r="G259" s="24">
        <f>CENIK_št_1!K41</f>
        <v>21.02</v>
      </c>
      <c r="H259" s="23"/>
      <c r="I259" s="23"/>
      <c r="J259" s="25">
        <f>F259*G259</f>
        <v>42.04</v>
      </c>
    </row>
    <row r="260" spans="2:10" x14ac:dyDescent="0.25">
      <c r="B260" s="54"/>
      <c r="C260" s="55"/>
      <c r="D260" s="372"/>
      <c r="E260" s="379" t="s">
        <v>325</v>
      </c>
      <c r="F260" s="23">
        <v>5.5</v>
      </c>
      <c r="G260" s="24">
        <f>CENIK_št_1!K40</f>
        <v>20.75</v>
      </c>
      <c r="H260" s="23"/>
      <c r="I260" s="23"/>
      <c r="J260" s="73">
        <f>F260*G260</f>
        <v>114.125</v>
      </c>
    </row>
    <row r="261" spans="2:10" ht="15" customHeight="1" x14ac:dyDescent="0.25">
      <c r="B261" s="58"/>
      <c r="C261" s="59"/>
      <c r="D261" s="688" t="s">
        <v>169</v>
      </c>
      <c r="E261" s="689"/>
      <c r="F261" s="27"/>
      <c r="G261" s="74"/>
      <c r="H261" s="27"/>
      <c r="I261" s="27"/>
      <c r="J261" s="73"/>
    </row>
    <row r="262" spans="2:10" ht="15" customHeight="1" x14ac:dyDescent="0.25">
      <c r="B262" s="58"/>
      <c r="C262" s="59"/>
      <c r="D262" s="776" t="str">
        <f>CENIK_št_1!B64</f>
        <v>Tovorno vozilo do 15 t sdm</v>
      </c>
      <c r="E262" s="724"/>
      <c r="F262" s="85">
        <v>3</v>
      </c>
      <c r="G262" s="86">
        <f>CENIK_št_1!K64</f>
        <v>46.53</v>
      </c>
      <c r="H262" s="84"/>
      <c r="I262" s="84"/>
      <c r="J262" s="87">
        <f>F262*G262</f>
        <v>139.59</v>
      </c>
    </row>
    <row r="263" spans="2:10" ht="15" customHeight="1" x14ac:dyDescent="0.25">
      <c r="B263" s="54"/>
      <c r="C263" s="55"/>
      <c r="D263" s="88"/>
      <c r="E263" s="89" t="str">
        <f>E248</f>
        <v>Vibracijski valjar 1,5 t</v>
      </c>
      <c r="F263" s="90">
        <v>2</v>
      </c>
      <c r="G263" s="86">
        <f>G248</f>
        <v>35.06</v>
      </c>
      <c r="H263" s="91"/>
      <c r="I263" s="91"/>
      <c r="J263" s="87">
        <f>F263*G263</f>
        <v>70.12</v>
      </c>
    </row>
    <row r="264" spans="2:10" ht="26.25" customHeight="1" x14ac:dyDescent="0.25">
      <c r="B264" s="54"/>
      <c r="C264" s="55"/>
      <c r="D264" s="88"/>
      <c r="E264" s="89" t="str">
        <f>E236</f>
        <v>Tovorno vozilo do 3,5 t sdm</v>
      </c>
      <c r="F264" s="90">
        <v>3</v>
      </c>
      <c r="G264" s="86">
        <f>G236</f>
        <v>33.81</v>
      </c>
      <c r="H264" s="91"/>
      <c r="I264" s="91"/>
      <c r="J264" s="87">
        <f>F264*G264</f>
        <v>101.43</v>
      </c>
    </row>
    <row r="265" spans="2:10" ht="26.25" customHeight="1" thickBot="1" x14ac:dyDescent="0.3">
      <c r="B265" s="54"/>
      <c r="C265" s="55"/>
      <c r="D265" s="845" t="str">
        <f>D237</f>
        <v>Tovorna prikolica do 3,5 t sdm</v>
      </c>
      <c r="E265" s="846"/>
      <c r="F265" s="85">
        <v>3</v>
      </c>
      <c r="G265" s="86">
        <f>G224</f>
        <v>7.1250000000000009</v>
      </c>
      <c r="H265" s="91"/>
      <c r="I265" s="91"/>
      <c r="J265" s="87">
        <f>F265*G265</f>
        <v>21.375000000000004</v>
      </c>
    </row>
    <row r="266" spans="2:10" ht="15.75" thickBot="1" x14ac:dyDescent="0.3">
      <c r="B266" s="663"/>
      <c r="C266" s="664"/>
      <c r="D266" s="665" t="s">
        <v>190</v>
      </c>
      <c r="E266" s="666"/>
      <c r="F266" s="22">
        <v>15</v>
      </c>
      <c r="G266" s="60"/>
      <c r="H266" s="22"/>
      <c r="I266" s="22">
        <v>1</v>
      </c>
      <c r="J266" s="50">
        <f>SUM(J259:J265)/F266</f>
        <v>32.57866666666667</v>
      </c>
    </row>
    <row r="267" spans="2:10" ht="15.75" thickBot="1" x14ac:dyDescent="0.3">
      <c r="B267" s="183"/>
      <c r="C267" s="183"/>
      <c r="D267" s="184"/>
      <c r="E267" s="184"/>
      <c r="F267" s="185"/>
      <c r="G267" s="186"/>
      <c r="H267" s="185"/>
      <c r="I267" s="185"/>
      <c r="J267" s="187"/>
    </row>
    <row r="268" spans="2:10" ht="15.75" thickBot="1" x14ac:dyDescent="0.3">
      <c r="B268" s="577" t="s">
        <v>130</v>
      </c>
      <c r="C268" s="579"/>
      <c r="D268" s="577" t="s">
        <v>129</v>
      </c>
      <c r="E268" s="578"/>
      <c r="F268" s="578"/>
      <c r="G268" s="578"/>
      <c r="H268" s="578"/>
      <c r="I268" s="578"/>
      <c r="J268" s="579"/>
    </row>
    <row r="269" spans="2:10" ht="23.25" thickBot="1" x14ac:dyDescent="0.3">
      <c r="B269" s="649" t="s">
        <v>36</v>
      </c>
      <c r="C269" s="650"/>
      <c r="D269" s="651" t="s">
        <v>37</v>
      </c>
      <c r="E269" s="652"/>
      <c r="F269" s="48" t="s">
        <v>167</v>
      </c>
      <c r="G269" s="48" t="s">
        <v>156</v>
      </c>
      <c r="H269" s="48" t="s">
        <v>172</v>
      </c>
      <c r="I269" s="61" t="s">
        <v>183</v>
      </c>
      <c r="J269" s="49" t="s">
        <v>41</v>
      </c>
    </row>
    <row r="270" spans="2:10" ht="33" customHeight="1" x14ac:dyDescent="0.25">
      <c r="B270" s="653" t="s">
        <v>137</v>
      </c>
      <c r="C270" s="654"/>
      <c r="D270" s="835" t="s">
        <v>402</v>
      </c>
      <c r="E270" s="836"/>
      <c r="F270" s="76"/>
      <c r="G270" s="76"/>
      <c r="H270" s="76"/>
      <c r="I270" s="76"/>
      <c r="J270" s="77"/>
    </row>
    <row r="271" spans="2:10" x14ac:dyDescent="0.25">
      <c r="B271" s="657"/>
      <c r="C271" s="658"/>
      <c r="D271" s="704" t="s">
        <v>168</v>
      </c>
      <c r="E271" s="660"/>
      <c r="F271" s="23"/>
      <c r="G271" s="52"/>
      <c r="H271" s="23"/>
      <c r="I271" s="23"/>
      <c r="J271" s="25"/>
    </row>
    <row r="272" spans="2:10" x14ac:dyDescent="0.25">
      <c r="B272" s="54"/>
      <c r="C272" s="55"/>
      <c r="D272" s="841" t="s">
        <v>342</v>
      </c>
      <c r="E272" s="769"/>
      <c r="F272" s="23">
        <v>3.5</v>
      </c>
      <c r="G272" s="24">
        <f>G259</f>
        <v>21.02</v>
      </c>
      <c r="H272" s="23"/>
      <c r="I272" s="23"/>
      <c r="J272" s="25">
        <f>F272*G272</f>
        <v>73.569999999999993</v>
      </c>
    </row>
    <row r="273" spans="2:10" x14ac:dyDescent="0.25">
      <c r="B273" s="54"/>
      <c r="C273" s="55"/>
      <c r="D273" s="372"/>
      <c r="E273" s="379" t="s">
        <v>325</v>
      </c>
      <c r="F273" s="23">
        <v>11</v>
      </c>
      <c r="G273" s="24">
        <f>G260</f>
        <v>20.75</v>
      </c>
      <c r="H273" s="23"/>
      <c r="I273" s="23"/>
      <c r="J273" s="73">
        <f>F273*G273</f>
        <v>228.25</v>
      </c>
    </row>
    <row r="274" spans="2:10" x14ac:dyDescent="0.25">
      <c r="B274" s="58"/>
      <c r="C274" s="59"/>
      <c r="D274" s="688" t="s">
        <v>169</v>
      </c>
      <c r="E274" s="689"/>
      <c r="F274" s="27"/>
      <c r="G274" s="74"/>
      <c r="H274" s="27"/>
      <c r="I274" s="27"/>
      <c r="J274" s="73"/>
    </row>
    <row r="275" spans="2:10" x14ac:dyDescent="0.25">
      <c r="B275" s="58"/>
      <c r="C275" s="59"/>
      <c r="D275" s="776" t="str">
        <f>D262</f>
        <v>Tovorno vozilo do 15 t sdm</v>
      </c>
      <c r="E275" s="724"/>
      <c r="F275" s="85">
        <v>4.5</v>
      </c>
      <c r="G275" s="86">
        <f>G262</f>
        <v>46.53</v>
      </c>
      <c r="H275" s="84"/>
      <c r="I275" s="84"/>
      <c r="J275" s="87">
        <f>F275*G275</f>
        <v>209.38499999999999</v>
      </c>
    </row>
    <row r="276" spans="2:10" x14ac:dyDescent="0.25">
      <c r="B276" s="54"/>
      <c r="C276" s="55"/>
      <c r="D276" s="88"/>
      <c r="E276" s="89" t="str">
        <f>E263</f>
        <v>Vibracijski valjar 1,5 t</v>
      </c>
      <c r="F276" s="90">
        <f>F263</f>
        <v>2</v>
      </c>
      <c r="G276" s="86">
        <f>G263</f>
        <v>35.06</v>
      </c>
      <c r="H276" s="91"/>
      <c r="I276" s="91"/>
      <c r="J276" s="87">
        <f>F276*G276</f>
        <v>70.12</v>
      </c>
    </row>
    <row r="277" spans="2:10" ht="26.25" x14ac:dyDescent="0.25">
      <c r="B277" s="54"/>
      <c r="C277" s="55"/>
      <c r="D277" s="380"/>
      <c r="E277" s="381" t="str">
        <f>E264</f>
        <v>Tovorno vozilo do 3,5 t sdm</v>
      </c>
      <c r="F277" s="90">
        <v>4.5</v>
      </c>
      <c r="G277" s="86">
        <f>G264</f>
        <v>33.81</v>
      </c>
      <c r="H277" s="91"/>
      <c r="I277" s="91"/>
      <c r="J277" s="87">
        <f>F277*G277</f>
        <v>152.14500000000001</v>
      </c>
    </row>
    <row r="278" spans="2:10" ht="15.75" thickBot="1" x14ac:dyDescent="0.3">
      <c r="B278" s="350"/>
      <c r="C278" s="351"/>
      <c r="D278" s="845" t="str">
        <f>D265</f>
        <v>Tovorna prikolica do 3,5 t sdm</v>
      </c>
      <c r="E278" s="846"/>
      <c r="F278" s="376">
        <v>4.5</v>
      </c>
      <c r="G278" s="93">
        <f>G265</f>
        <v>7.1250000000000009</v>
      </c>
      <c r="H278" s="94"/>
      <c r="I278" s="94"/>
      <c r="J278" s="95">
        <f>F278*G278</f>
        <v>32.062500000000007</v>
      </c>
    </row>
    <row r="279" spans="2:10" ht="15.75" thickBot="1" x14ac:dyDescent="0.3">
      <c r="B279" s="663"/>
      <c r="C279" s="664"/>
      <c r="D279" s="665" t="s">
        <v>190</v>
      </c>
      <c r="E279" s="666"/>
      <c r="F279" s="22">
        <v>30</v>
      </c>
      <c r="G279" s="60"/>
      <c r="H279" s="22"/>
      <c r="I279" s="22">
        <v>1</v>
      </c>
      <c r="J279" s="50">
        <f>SUM(J272:J278)/F279</f>
        <v>25.517749999999999</v>
      </c>
    </row>
    <row r="280" spans="2:10" ht="15.75" thickBot="1" x14ac:dyDescent="0.3">
      <c r="B280" s="183"/>
      <c r="C280" s="183"/>
      <c r="D280" s="184"/>
      <c r="E280" s="184"/>
      <c r="F280" s="185"/>
      <c r="G280" s="186"/>
      <c r="H280" s="185"/>
      <c r="I280" s="185"/>
      <c r="J280" s="187"/>
    </row>
    <row r="281" spans="2:10" ht="15.75" thickBot="1" x14ac:dyDescent="0.3">
      <c r="B281" s="577" t="s">
        <v>130</v>
      </c>
      <c r="C281" s="579"/>
      <c r="D281" s="577" t="s">
        <v>129</v>
      </c>
      <c r="E281" s="578"/>
      <c r="F281" s="578"/>
      <c r="G281" s="578"/>
      <c r="H281" s="578"/>
      <c r="I281" s="578"/>
      <c r="J281" s="579"/>
    </row>
    <row r="282" spans="2:10" ht="23.25" thickBot="1" x14ac:dyDescent="0.3">
      <c r="B282" s="649" t="s">
        <v>36</v>
      </c>
      <c r="C282" s="650"/>
      <c r="D282" s="651" t="s">
        <v>37</v>
      </c>
      <c r="E282" s="652"/>
      <c r="F282" s="48" t="s">
        <v>167</v>
      </c>
      <c r="G282" s="48" t="s">
        <v>156</v>
      </c>
      <c r="H282" s="48" t="s">
        <v>172</v>
      </c>
      <c r="I282" s="61" t="s">
        <v>183</v>
      </c>
      <c r="J282" s="49" t="s">
        <v>41</v>
      </c>
    </row>
    <row r="283" spans="2:10" ht="30" customHeight="1" x14ac:dyDescent="0.25">
      <c r="B283" s="653" t="s">
        <v>138</v>
      </c>
      <c r="C283" s="654"/>
      <c r="D283" s="835" t="s">
        <v>404</v>
      </c>
      <c r="E283" s="836"/>
      <c r="F283" s="76"/>
      <c r="G283" s="76"/>
      <c r="H283" s="76"/>
      <c r="I283" s="76"/>
      <c r="J283" s="77"/>
    </row>
    <row r="284" spans="2:10" x14ac:dyDescent="0.25">
      <c r="B284" s="657"/>
      <c r="C284" s="658"/>
      <c r="D284" s="704" t="s">
        <v>168</v>
      </c>
      <c r="E284" s="660"/>
      <c r="F284" s="23"/>
      <c r="G284" s="52"/>
      <c r="H284" s="23"/>
      <c r="I284" s="23"/>
      <c r="J284" s="25"/>
    </row>
    <row r="285" spans="2:10" x14ac:dyDescent="0.25">
      <c r="B285" s="54"/>
      <c r="C285" s="55"/>
      <c r="D285" s="841" t="s">
        <v>342</v>
      </c>
      <c r="E285" s="769"/>
      <c r="F285" s="23">
        <v>5.5</v>
      </c>
      <c r="G285" s="24">
        <f>G272</f>
        <v>21.02</v>
      </c>
      <c r="H285" s="23"/>
      <c r="I285" s="23"/>
      <c r="J285" s="25">
        <f>F285*G285</f>
        <v>115.61</v>
      </c>
    </row>
    <row r="286" spans="2:10" x14ac:dyDescent="0.25">
      <c r="B286" s="54"/>
      <c r="C286" s="55"/>
      <c r="D286" s="372"/>
      <c r="E286" s="379" t="s">
        <v>325</v>
      </c>
      <c r="F286" s="23">
        <v>16</v>
      </c>
      <c r="G286" s="24">
        <f>G273</f>
        <v>20.75</v>
      </c>
      <c r="H286" s="23"/>
      <c r="I286" s="23"/>
      <c r="J286" s="73">
        <f>F286*G286</f>
        <v>332</v>
      </c>
    </row>
    <row r="287" spans="2:10" x14ac:dyDescent="0.25">
      <c r="B287" s="58"/>
      <c r="C287" s="59"/>
      <c r="D287" s="688" t="s">
        <v>169</v>
      </c>
      <c r="E287" s="689"/>
      <c r="F287" s="27"/>
      <c r="G287" s="74"/>
      <c r="H287" s="27"/>
      <c r="I287" s="27"/>
      <c r="J287" s="73"/>
    </row>
    <row r="288" spans="2:10" x14ac:dyDescent="0.25">
      <c r="B288" s="58"/>
      <c r="C288" s="59"/>
      <c r="D288" s="776" t="str">
        <f>D275</f>
        <v>Tovorno vozilo do 15 t sdm</v>
      </c>
      <c r="E288" s="724"/>
      <c r="F288" s="85">
        <v>7</v>
      </c>
      <c r="G288" s="86">
        <f>G275</f>
        <v>46.53</v>
      </c>
      <c r="H288" s="84"/>
      <c r="I288" s="84"/>
      <c r="J288" s="87">
        <f>F288*G288</f>
        <v>325.71000000000004</v>
      </c>
    </row>
    <row r="289" spans="1:10" x14ac:dyDescent="0.25">
      <c r="B289" s="54"/>
      <c r="C289" s="55"/>
      <c r="D289" s="88"/>
      <c r="E289" s="89" t="str">
        <f>E248</f>
        <v>Vibracijski valjar 1,5 t</v>
      </c>
      <c r="F289" s="90">
        <v>6</v>
      </c>
      <c r="G289" s="86">
        <f>G248</f>
        <v>35.06</v>
      </c>
      <c r="H289" s="91"/>
      <c r="I289" s="91"/>
      <c r="J289" s="87">
        <f>F289*G289</f>
        <v>210.36</v>
      </c>
    </row>
    <row r="290" spans="1:10" x14ac:dyDescent="0.25">
      <c r="B290" s="54"/>
      <c r="C290" s="55"/>
      <c r="D290" s="88"/>
      <c r="E290" s="89" t="s">
        <v>378</v>
      </c>
      <c r="F290" s="90">
        <v>7</v>
      </c>
      <c r="G290" s="86">
        <v>35</v>
      </c>
      <c r="H290" s="91"/>
      <c r="I290" s="91"/>
      <c r="J290" s="87">
        <f>F290*G290</f>
        <v>245</v>
      </c>
    </row>
    <row r="291" spans="1:10" ht="26.25" x14ac:dyDescent="0.25">
      <c r="B291" s="54"/>
      <c r="C291" s="55"/>
      <c r="D291" s="380"/>
      <c r="E291" s="381" t="str">
        <f>E250</f>
        <v>Tovorno vozilo do 3,5 t sdm</v>
      </c>
      <c r="F291" s="90">
        <v>7</v>
      </c>
      <c r="G291" s="86">
        <f>G236</f>
        <v>33.81</v>
      </c>
      <c r="H291" s="91"/>
      <c r="I291" s="91"/>
      <c r="J291" s="87">
        <f>F291*G291</f>
        <v>236.67000000000002</v>
      </c>
    </row>
    <row r="292" spans="1:10" ht="15.75" thickBot="1" x14ac:dyDescent="0.3">
      <c r="B292" s="350"/>
      <c r="C292" s="351"/>
      <c r="D292" s="845" t="str">
        <f>D278</f>
        <v>Tovorna prikolica do 3,5 t sdm</v>
      </c>
      <c r="E292" s="846"/>
      <c r="F292" s="376">
        <v>7</v>
      </c>
      <c r="G292" s="93">
        <f>G278</f>
        <v>7.1250000000000009</v>
      </c>
      <c r="H292" s="94"/>
      <c r="I292" s="94"/>
      <c r="J292" s="95">
        <f>F292*G292</f>
        <v>49.875000000000007</v>
      </c>
    </row>
    <row r="293" spans="1:10" ht="15.75" thickBot="1" x14ac:dyDescent="0.3">
      <c r="B293" s="663"/>
      <c r="C293" s="664"/>
      <c r="D293" s="665" t="s">
        <v>190</v>
      </c>
      <c r="E293" s="666"/>
      <c r="F293" s="22">
        <v>100</v>
      </c>
      <c r="G293" s="60"/>
      <c r="H293" s="22"/>
      <c r="I293" s="22">
        <v>1</v>
      </c>
      <c r="J293" s="50">
        <f>SUM(J285:J292)/F293</f>
        <v>15.152250000000002</v>
      </c>
    </row>
    <row r="294" spans="1:10" ht="15.75" thickBot="1" x14ac:dyDescent="0.3">
      <c r="B294" s="183"/>
      <c r="C294" s="183"/>
      <c r="D294" s="184"/>
      <c r="E294" s="184"/>
      <c r="F294" s="185"/>
      <c r="G294" s="186"/>
      <c r="H294" s="185"/>
      <c r="I294" s="185"/>
      <c r="J294" s="187"/>
    </row>
    <row r="295" spans="1:10" ht="15.75" thickBot="1" x14ac:dyDescent="0.3">
      <c r="A295" s="209"/>
      <c r="B295" s="577" t="s">
        <v>130</v>
      </c>
      <c r="C295" s="579"/>
      <c r="D295" s="577" t="s">
        <v>129</v>
      </c>
      <c r="E295" s="578"/>
      <c r="F295" s="578"/>
      <c r="G295" s="578"/>
      <c r="H295" s="578"/>
      <c r="I295" s="578"/>
      <c r="J295" s="579"/>
    </row>
    <row r="296" spans="1:10" ht="23.25" thickBot="1" x14ac:dyDescent="0.3">
      <c r="A296" s="209"/>
      <c r="B296" s="649" t="s">
        <v>36</v>
      </c>
      <c r="C296" s="650"/>
      <c r="D296" s="651" t="s">
        <v>37</v>
      </c>
      <c r="E296" s="652"/>
      <c r="F296" s="48" t="s">
        <v>167</v>
      </c>
      <c r="G296" s="48" t="s">
        <v>156</v>
      </c>
      <c r="H296" s="48" t="s">
        <v>172</v>
      </c>
      <c r="I296" s="61" t="s">
        <v>183</v>
      </c>
      <c r="J296" s="49" t="s">
        <v>41</v>
      </c>
    </row>
    <row r="297" spans="1:10" ht="24.75" customHeight="1" x14ac:dyDescent="0.25">
      <c r="A297" s="209"/>
      <c r="B297" s="653" t="s">
        <v>139</v>
      </c>
      <c r="C297" s="654"/>
      <c r="D297" s="835" t="s">
        <v>250</v>
      </c>
      <c r="E297" s="836"/>
      <c r="F297" s="76"/>
      <c r="G297" s="76"/>
      <c r="H297" s="76"/>
      <c r="I297" s="76"/>
      <c r="J297" s="77"/>
    </row>
    <row r="298" spans="1:10" x14ac:dyDescent="0.25">
      <c r="A298" s="209"/>
      <c r="B298" s="657"/>
      <c r="C298" s="658"/>
      <c r="D298" s="704" t="s">
        <v>168</v>
      </c>
      <c r="E298" s="660"/>
      <c r="F298" s="23"/>
      <c r="G298" s="52"/>
      <c r="H298" s="23"/>
      <c r="I298" s="23"/>
      <c r="J298" s="25"/>
    </row>
    <row r="299" spans="1:10" ht="30.75" customHeight="1" x14ac:dyDescent="0.25">
      <c r="A299" s="209"/>
      <c r="B299" s="54"/>
      <c r="C299" s="55"/>
      <c r="D299" s="837" t="str">
        <f>D285</f>
        <v>Delovodja, Skupinovodja, Preglednik, Dispečer, Voznik, Strojnik</v>
      </c>
      <c r="E299" s="838"/>
      <c r="F299" s="23">
        <v>0.5</v>
      </c>
      <c r="G299" s="24">
        <f>G285</f>
        <v>21.02</v>
      </c>
      <c r="H299" s="23"/>
      <c r="I299" s="23"/>
      <c r="J299" s="25">
        <f>F299*G299</f>
        <v>10.51</v>
      </c>
    </row>
    <row r="300" spans="1:10" x14ac:dyDescent="0.25">
      <c r="A300" s="209"/>
      <c r="B300" s="58"/>
      <c r="C300" s="59"/>
      <c r="D300" s="688" t="s">
        <v>169</v>
      </c>
      <c r="E300" s="689"/>
      <c r="F300" s="27"/>
      <c r="G300" s="74"/>
      <c r="H300" s="27"/>
      <c r="I300" s="27"/>
      <c r="J300" s="73"/>
    </row>
    <row r="301" spans="1:10" x14ac:dyDescent="0.25">
      <c r="A301" s="209"/>
      <c r="B301" s="58"/>
      <c r="C301" s="59"/>
      <c r="D301" s="776" t="str">
        <f>E291</f>
        <v>Tovorno vozilo do 3,5 t sdm</v>
      </c>
      <c r="E301" s="724"/>
      <c r="F301" s="85">
        <v>0.5</v>
      </c>
      <c r="G301" s="86">
        <v>22.07</v>
      </c>
      <c r="H301" s="84"/>
      <c r="I301" s="84"/>
      <c r="J301" s="87">
        <f>F301*G301</f>
        <v>11.035</v>
      </c>
    </row>
    <row r="302" spans="1:10" ht="15.75" customHeight="1" x14ac:dyDescent="0.25">
      <c r="A302" s="209"/>
      <c r="B302" s="54"/>
      <c r="C302" s="55"/>
      <c r="D302" s="688" t="s">
        <v>405</v>
      </c>
      <c r="E302" s="689"/>
      <c r="F302" s="90"/>
      <c r="G302" s="86"/>
      <c r="H302" s="91"/>
      <c r="I302" s="91"/>
      <c r="J302" s="87"/>
    </row>
    <row r="303" spans="1:10" ht="15.75" thickBot="1" x14ac:dyDescent="0.3">
      <c r="A303" s="209"/>
      <c r="B303" s="54"/>
      <c r="C303" s="55"/>
      <c r="D303" s="88"/>
      <c r="E303" s="89" t="str">
        <f>CENIK_št_1!B131</f>
        <v>Električno udarno kladivo</v>
      </c>
      <c r="F303" s="90">
        <v>0.5</v>
      </c>
      <c r="G303" s="86">
        <f>CENIK_št_1!K131</f>
        <v>11.025</v>
      </c>
      <c r="H303" s="90"/>
      <c r="I303" s="86"/>
      <c r="J303" s="87">
        <f>F303*G303</f>
        <v>5.5125000000000002</v>
      </c>
    </row>
    <row r="304" spans="1:10" ht="15.75" thickBot="1" x14ac:dyDescent="0.3">
      <c r="A304" s="209"/>
      <c r="B304" s="663"/>
      <c r="C304" s="664"/>
      <c r="D304" s="665" t="s">
        <v>190</v>
      </c>
      <c r="E304" s="666"/>
      <c r="F304" s="22"/>
      <c r="G304" s="60"/>
      <c r="H304" s="22"/>
      <c r="I304" s="22">
        <v>1</v>
      </c>
      <c r="J304" s="50">
        <f>SUM(J299:J303)</f>
        <v>27.057500000000001</v>
      </c>
    </row>
    <row r="305" spans="1:10" ht="15.75" thickBot="1" x14ac:dyDescent="0.3">
      <c r="A305" s="209"/>
      <c r="B305" s="413"/>
      <c r="C305" s="413"/>
      <c r="D305" s="414"/>
      <c r="E305" s="414"/>
      <c r="F305" s="415"/>
      <c r="G305" s="416"/>
      <c r="H305" s="415"/>
      <c r="I305" s="415"/>
      <c r="J305" s="417"/>
    </row>
    <row r="306" spans="1:10" ht="15.75" thickBot="1" x14ac:dyDescent="0.3">
      <c r="A306" s="209"/>
      <c r="B306" s="577" t="s">
        <v>130</v>
      </c>
      <c r="C306" s="579"/>
      <c r="D306" s="577" t="s">
        <v>129</v>
      </c>
      <c r="E306" s="578"/>
      <c r="F306" s="578"/>
      <c r="G306" s="578"/>
      <c r="H306" s="578"/>
      <c r="I306" s="578"/>
      <c r="J306" s="579"/>
    </row>
    <row r="307" spans="1:10" ht="23.25" thickBot="1" x14ac:dyDescent="0.3">
      <c r="A307" s="209"/>
      <c r="B307" s="649" t="s">
        <v>36</v>
      </c>
      <c r="C307" s="650"/>
      <c r="D307" s="651" t="s">
        <v>37</v>
      </c>
      <c r="E307" s="652"/>
      <c r="F307" s="48" t="s">
        <v>167</v>
      </c>
      <c r="G307" s="48" t="s">
        <v>156</v>
      </c>
      <c r="H307" s="48" t="s">
        <v>172</v>
      </c>
      <c r="I307" s="61" t="s">
        <v>183</v>
      </c>
      <c r="J307" s="49" t="s">
        <v>41</v>
      </c>
    </row>
    <row r="308" spans="1:10" x14ac:dyDescent="0.25">
      <c r="A308" s="209"/>
      <c r="B308" s="653" t="s">
        <v>465</v>
      </c>
      <c r="C308" s="654"/>
      <c r="D308" s="835" t="s">
        <v>462</v>
      </c>
      <c r="E308" s="836"/>
      <c r="F308" s="76"/>
      <c r="G308" s="76"/>
      <c r="H308" s="76"/>
      <c r="I308" s="76"/>
      <c r="J308" s="77"/>
    </row>
    <row r="309" spans="1:10" x14ac:dyDescent="0.25">
      <c r="A309" s="209"/>
      <c r="B309" s="657"/>
      <c r="C309" s="658"/>
      <c r="D309" s="704" t="s">
        <v>168</v>
      </c>
      <c r="E309" s="660"/>
      <c r="F309" s="23"/>
      <c r="G309" s="52"/>
      <c r="H309" s="23"/>
      <c r="I309" s="23"/>
      <c r="J309" s="25"/>
    </row>
    <row r="310" spans="1:10" ht="34.5" customHeight="1" x14ac:dyDescent="0.25">
      <c r="A310" s="209"/>
      <c r="B310" s="54"/>
      <c r="C310" s="55"/>
      <c r="D310" s="837" t="s">
        <v>342</v>
      </c>
      <c r="E310" s="838"/>
      <c r="F310" s="23">
        <v>0.5</v>
      </c>
      <c r="G310" s="24">
        <f>CENIK_št_1!K41</f>
        <v>21.02</v>
      </c>
      <c r="H310" s="23"/>
      <c r="I310" s="23"/>
      <c r="J310" s="25">
        <f>F310*G310</f>
        <v>10.51</v>
      </c>
    </row>
    <row r="311" spans="1:10" ht="15.75" customHeight="1" x14ac:dyDescent="0.25">
      <c r="A311" s="209"/>
      <c r="B311" s="54"/>
      <c r="C311" s="55"/>
      <c r="D311" s="837" t="s">
        <v>325</v>
      </c>
      <c r="E311" s="838"/>
      <c r="F311" s="23">
        <v>1</v>
      </c>
      <c r="G311" s="24">
        <f>CENIK_št_1!K40</f>
        <v>20.75</v>
      </c>
      <c r="H311" s="23"/>
      <c r="I311" s="23"/>
      <c r="J311" s="73">
        <f>F311*G311</f>
        <v>20.75</v>
      </c>
    </row>
    <row r="312" spans="1:10" ht="18" customHeight="1" x14ac:dyDescent="0.25">
      <c r="A312" s="209"/>
      <c r="B312" s="58"/>
      <c r="C312" s="59"/>
      <c r="D312" s="688" t="s">
        <v>169</v>
      </c>
      <c r="E312" s="689"/>
      <c r="F312" s="27"/>
      <c r="G312" s="74"/>
      <c r="H312" s="27"/>
      <c r="I312" s="27"/>
      <c r="J312" s="73"/>
    </row>
    <row r="313" spans="1:10" ht="15.75" thickBot="1" x14ac:dyDescent="0.3">
      <c r="A313" s="209"/>
      <c r="B313" s="58"/>
      <c r="C313" s="59"/>
      <c r="D313" s="776" t="str">
        <f>CENIK_št_1!B63</f>
        <v>Tovorno vozilo do 3,5 t sdm</v>
      </c>
      <c r="E313" s="724"/>
      <c r="F313" s="85">
        <v>0.5</v>
      </c>
      <c r="G313" s="86">
        <f>CENIK_št_1!K63</f>
        <v>33.81</v>
      </c>
      <c r="H313" s="84"/>
      <c r="I313" s="84"/>
      <c r="J313" s="87">
        <f>F313*G313</f>
        <v>16.905000000000001</v>
      </c>
    </row>
    <row r="314" spans="1:10" ht="15.75" thickBot="1" x14ac:dyDescent="0.3">
      <c r="A314" s="209"/>
      <c r="B314" s="663"/>
      <c r="C314" s="664"/>
      <c r="D314" s="665" t="s">
        <v>190</v>
      </c>
      <c r="E314" s="666"/>
      <c r="F314" s="22">
        <v>15</v>
      </c>
      <c r="G314" s="60"/>
      <c r="H314" s="22"/>
      <c r="I314" s="22">
        <v>1</v>
      </c>
      <c r="J314" s="50">
        <f>SUM(J310:J313)/F314</f>
        <v>3.2109999999999999</v>
      </c>
    </row>
    <row r="315" spans="1:10" ht="15.75" thickBot="1" x14ac:dyDescent="0.3">
      <c r="A315" s="209"/>
      <c r="B315" s="413"/>
      <c r="C315" s="413"/>
      <c r="D315" s="414"/>
      <c r="E315" s="414"/>
      <c r="F315" s="415"/>
      <c r="G315" s="416"/>
      <c r="H315" s="415"/>
      <c r="I315" s="415"/>
      <c r="J315" s="417"/>
    </row>
    <row r="316" spans="1:10" ht="15.75" thickBot="1" x14ac:dyDescent="0.3">
      <c r="A316" s="209"/>
      <c r="B316" s="577" t="s">
        <v>130</v>
      </c>
      <c r="C316" s="579"/>
      <c r="D316" s="577" t="s">
        <v>129</v>
      </c>
      <c r="E316" s="578"/>
      <c r="F316" s="578"/>
      <c r="G316" s="578"/>
      <c r="H316" s="578"/>
      <c r="I316" s="578"/>
      <c r="J316" s="579"/>
    </row>
    <row r="317" spans="1:10" ht="23.25" thickBot="1" x14ac:dyDescent="0.3">
      <c r="A317" s="209"/>
      <c r="B317" s="649" t="s">
        <v>36</v>
      </c>
      <c r="C317" s="650"/>
      <c r="D317" s="651" t="s">
        <v>37</v>
      </c>
      <c r="E317" s="652"/>
      <c r="F317" s="48" t="s">
        <v>167</v>
      </c>
      <c r="G317" s="48" t="s">
        <v>156</v>
      </c>
      <c r="H317" s="48" t="s">
        <v>172</v>
      </c>
      <c r="I317" s="61" t="s">
        <v>183</v>
      </c>
      <c r="J317" s="49" t="s">
        <v>41</v>
      </c>
    </row>
    <row r="318" spans="1:10" ht="25.5" customHeight="1" x14ac:dyDescent="0.25">
      <c r="A318" s="209"/>
      <c r="B318" s="653" t="s">
        <v>466</v>
      </c>
      <c r="C318" s="654"/>
      <c r="D318" s="835" t="s">
        <v>463</v>
      </c>
      <c r="E318" s="836"/>
      <c r="F318" s="76"/>
      <c r="G318" s="76"/>
      <c r="H318" s="76"/>
      <c r="I318" s="76"/>
      <c r="J318" s="77"/>
    </row>
    <row r="319" spans="1:10" x14ac:dyDescent="0.25">
      <c r="A319" s="209"/>
      <c r="B319" s="657"/>
      <c r="C319" s="658"/>
      <c r="D319" s="704" t="s">
        <v>168</v>
      </c>
      <c r="E319" s="660"/>
      <c r="F319" s="23"/>
      <c r="G319" s="52"/>
      <c r="H319" s="23"/>
      <c r="I319" s="23"/>
      <c r="J319" s="25"/>
    </row>
    <row r="320" spans="1:10" ht="27.75" customHeight="1" x14ac:dyDescent="0.25">
      <c r="A320" s="209"/>
      <c r="B320" s="54"/>
      <c r="C320" s="55"/>
      <c r="D320" s="837" t="s">
        <v>342</v>
      </c>
      <c r="E320" s="838"/>
      <c r="F320" s="23">
        <v>0.5</v>
      </c>
      <c r="G320" s="24">
        <f>CENIK_št_1!K41</f>
        <v>21.02</v>
      </c>
      <c r="H320" s="23"/>
      <c r="I320" s="23"/>
      <c r="J320" s="25">
        <f>F320*G320</f>
        <v>10.51</v>
      </c>
    </row>
    <row r="321" spans="1:10" ht="21" customHeight="1" x14ac:dyDescent="0.25">
      <c r="A321" s="209"/>
      <c r="B321" s="54"/>
      <c r="C321" s="55"/>
      <c r="D321" s="837" t="s">
        <v>325</v>
      </c>
      <c r="E321" s="838"/>
      <c r="F321" s="23">
        <v>2</v>
      </c>
      <c r="G321" s="24">
        <f>CENIK_št_1!K40</f>
        <v>20.75</v>
      </c>
      <c r="H321" s="23"/>
      <c r="I321" s="23"/>
      <c r="J321" s="73">
        <f>F321*G321</f>
        <v>41.5</v>
      </c>
    </row>
    <row r="322" spans="1:10" x14ac:dyDescent="0.25">
      <c r="A322" s="209"/>
      <c r="B322" s="58"/>
      <c r="C322" s="59"/>
      <c r="D322" s="688" t="s">
        <v>169</v>
      </c>
      <c r="E322" s="689"/>
      <c r="F322" s="27"/>
      <c r="G322" s="74"/>
      <c r="H322" s="27"/>
      <c r="I322" s="27"/>
      <c r="J322" s="73"/>
    </row>
    <row r="323" spans="1:10" ht="15.75" thickBot="1" x14ac:dyDescent="0.3">
      <c r="A323" s="209"/>
      <c r="B323" s="58"/>
      <c r="C323" s="59"/>
      <c r="D323" s="776" t="s">
        <v>13</v>
      </c>
      <c r="E323" s="724"/>
      <c r="F323" s="85">
        <v>0.5</v>
      </c>
      <c r="G323" s="86">
        <f>CENIK_št_1!K63</f>
        <v>33.81</v>
      </c>
      <c r="H323" s="84"/>
      <c r="I323" s="84"/>
      <c r="J323" s="87">
        <f>F323*G323</f>
        <v>16.905000000000001</v>
      </c>
    </row>
    <row r="324" spans="1:10" ht="15.75" thickBot="1" x14ac:dyDescent="0.3">
      <c r="A324" s="209"/>
      <c r="B324" s="663"/>
      <c r="C324" s="664"/>
      <c r="D324" s="665" t="s">
        <v>190</v>
      </c>
      <c r="E324" s="666"/>
      <c r="F324" s="22">
        <v>30</v>
      </c>
      <c r="G324" s="60"/>
      <c r="H324" s="22"/>
      <c r="I324" s="22">
        <v>1</v>
      </c>
      <c r="J324" s="50">
        <f>SUM(J320:J323)/F324</f>
        <v>2.2971666666666666</v>
      </c>
    </row>
    <row r="325" spans="1:10" ht="15.75" thickBot="1" x14ac:dyDescent="0.3">
      <c r="A325" s="209"/>
      <c r="B325" s="413"/>
      <c r="C325" s="413"/>
      <c r="D325" s="414"/>
      <c r="E325" s="414"/>
      <c r="F325" s="415"/>
      <c r="G325" s="416"/>
      <c r="H325" s="415"/>
      <c r="I325" s="415"/>
      <c r="J325" s="417"/>
    </row>
    <row r="326" spans="1:10" ht="15.75" thickBot="1" x14ac:dyDescent="0.3">
      <c r="A326" s="209"/>
      <c r="B326" s="577" t="s">
        <v>130</v>
      </c>
      <c r="C326" s="579"/>
      <c r="D326" s="577" t="s">
        <v>129</v>
      </c>
      <c r="E326" s="578"/>
      <c r="F326" s="578"/>
      <c r="G326" s="578"/>
      <c r="H326" s="578"/>
      <c r="I326" s="578"/>
      <c r="J326" s="579"/>
    </row>
    <row r="327" spans="1:10" ht="23.25" thickBot="1" x14ac:dyDescent="0.3">
      <c r="A327" s="209"/>
      <c r="B327" s="649" t="s">
        <v>36</v>
      </c>
      <c r="C327" s="650"/>
      <c r="D327" s="651" t="s">
        <v>37</v>
      </c>
      <c r="E327" s="652"/>
      <c r="F327" s="48" t="s">
        <v>167</v>
      </c>
      <c r="G327" s="48" t="s">
        <v>156</v>
      </c>
      <c r="H327" s="48" t="s">
        <v>172</v>
      </c>
      <c r="I327" s="61" t="s">
        <v>183</v>
      </c>
      <c r="J327" s="49" t="s">
        <v>41</v>
      </c>
    </row>
    <row r="328" spans="1:10" x14ac:dyDescent="0.25">
      <c r="A328" s="209"/>
      <c r="B328" s="653" t="s">
        <v>467</v>
      </c>
      <c r="C328" s="654"/>
      <c r="D328" s="835" t="s">
        <v>464</v>
      </c>
      <c r="E328" s="836"/>
      <c r="F328" s="76"/>
      <c r="G328" s="76"/>
      <c r="H328" s="76"/>
      <c r="I328" s="76"/>
      <c r="J328" s="77"/>
    </row>
    <row r="329" spans="1:10" x14ac:dyDescent="0.25">
      <c r="A329" s="209"/>
      <c r="B329" s="657"/>
      <c r="C329" s="658"/>
      <c r="D329" s="704" t="s">
        <v>168</v>
      </c>
      <c r="E329" s="660"/>
      <c r="F329" s="23"/>
      <c r="G329" s="52"/>
      <c r="H329" s="23"/>
      <c r="I329" s="23"/>
      <c r="J329" s="25"/>
    </row>
    <row r="330" spans="1:10" ht="28.5" customHeight="1" x14ac:dyDescent="0.25">
      <c r="A330" s="209"/>
      <c r="B330" s="54"/>
      <c r="C330" s="55"/>
      <c r="D330" s="837" t="s">
        <v>342</v>
      </c>
      <c r="E330" s="838"/>
      <c r="F330" s="23">
        <v>0.5</v>
      </c>
      <c r="G330" s="24">
        <f>CENIK_št_1!K41</f>
        <v>21.02</v>
      </c>
      <c r="H330" s="23"/>
      <c r="I330" s="23"/>
      <c r="J330" s="25">
        <f>F330*G330</f>
        <v>10.51</v>
      </c>
    </row>
    <row r="331" spans="1:10" x14ac:dyDescent="0.25">
      <c r="A331" s="209"/>
      <c r="B331" s="54"/>
      <c r="C331" s="55"/>
      <c r="D331" s="837" t="s">
        <v>325</v>
      </c>
      <c r="E331" s="838"/>
      <c r="F331" s="23">
        <v>2</v>
      </c>
      <c r="G331" s="24">
        <f>CENIK_št_1!K40</f>
        <v>20.75</v>
      </c>
      <c r="H331" s="23"/>
      <c r="I331" s="23"/>
      <c r="J331" s="73">
        <f>F331*G331</f>
        <v>41.5</v>
      </c>
    </row>
    <row r="332" spans="1:10" x14ac:dyDescent="0.25">
      <c r="A332" s="209"/>
      <c r="B332" s="58"/>
      <c r="C332" s="59"/>
      <c r="D332" s="688" t="s">
        <v>169</v>
      </c>
      <c r="E332" s="689"/>
      <c r="F332" s="27"/>
      <c r="G332" s="74"/>
      <c r="H332" s="27"/>
      <c r="I332" s="27"/>
      <c r="J332" s="73"/>
    </row>
    <row r="333" spans="1:10" ht="15.75" thickBot="1" x14ac:dyDescent="0.3">
      <c r="A333" s="209"/>
      <c r="B333" s="58"/>
      <c r="C333" s="59"/>
      <c r="D333" s="776" t="s">
        <v>13</v>
      </c>
      <c r="E333" s="724"/>
      <c r="F333" s="85">
        <v>0.5</v>
      </c>
      <c r="G333" s="86">
        <f>CENIK_št_1!K63</f>
        <v>33.81</v>
      </c>
      <c r="H333" s="84"/>
      <c r="I333" s="84"/>
      <c r="J333" s="87">
        <f>F333*G333</f>
        <v>16.905000000000001</v>
      </c>
    </row>
    <row r="334" spans="1:10" ht="15.75" thickBot="1" x14ac:dyDescent="0.3">
      <c r="A334" s="209"/>
      <c r="B334" s="663"/>
      <c r="C334" s="664"/>
      <c r="D334" s="665" t="s">
        <v>190</v>
      </c>
      <c r="E334" s="666"/>
      <c r="F334" s="22">
        <v>45</v>
      </c>
      <c r="G334" s="60"/>
      <c r="H334" s="22"/>
      <c r="I334" s="22">
        <v>1</v>
      </c>
      <c r="J334" s="50">
        <f>SUM(J330:J333)/F334</f>
        <v>1.5314444444444442</v>
      </c>
    </row>
    <row r="335" spans="1:10" x14ac:dyDescent="0.25">
      <c r="A335" s="209"/>
      <c r="B335" s="183"/>
      <c r="C335" s="183"/>
      <c r="D335" s="184"/>
      <c r="E335" s="184"/>
      <c r="F335" s="185"/>
      <c r="G335" s="186"/>
      <c r="H335" s="185"/>
      <c r="I335" s="185"/>
      <c r="J335" s="187"/>
    </row>
    <row r="336" spans="1:10" ht="15.75" thickBot="1" x14ac:dyDescent="0.3">
      <c r="A336" s="209"/>
      <c r="B336" s="363"/>
      <c r="C336" s="363"/>
      <c r="D336" s="364"/>
      <c r="E336" s="364"/>
      <c r="F336" s="365"/>
      <c r="G336" s="366"/>
      <c r="H336" s="365"/>
      <c r="I336" s="365"/>
      <c r="J336" s="367"/>
    </row>
    <row r="337" spans="2:10" ht="15.75" thickTop="1" x14ac:dyDescent="0.25"/>
    <row r="338" spans="2:10" ht="15.75" thickBot="1" x14ac:dyDescent="0.3"/>
    <row r="339" spans="2:10" ht="15.75" thickBot="1" x14ac:dyDescent="0.3">
      <c r="B339" s="577" t="s">
        <v>140</v>
      </c>
      <c r="C339" s="579"/>
      <c r="D339" s="577" t="s">
        <v>131</v>
      </c>
      <c r="E339" s="578"/>
      <c r="F339" s="578"/>
      <c r="G339" s="578"/>
      <c r="H339" s="578"/>
      <c r="I339" s="578"/>
      <c r="J339" s="579"/>
    </row>
    <row r="340" spans="2:10" ht="23.25" thickBot="1" x14ac:dyDescent="0.3">
      <c r="B340" s="649" t="s">
        <v>36</v>
      </c>
      <c r="C340" s="650"/>
      <c r="D340" s="651" t="s">
        <v>37</v>
      </c>
      <c r="E340" s="652"/>
      <c r="F340" s="48" t="s">
        <v>167</v>
      </c>
      <c r="G340" s="48" t="s">
        <v>156</v>
      </c>
      <c r="H340" s="48" t="s">
        <v>172</v>
      </c>
      <c r="I340" s="61" t="s">
        <v>183</v>
      </c>
      <c r="J340" s="49" t="s">
        <v>41</v>
      </c>
    </row>
    <row r="341" spans="2:10" ht="30" customHeight="1" x14ac:dyDescent="0.25">
      <c r="B341" s="653" t="s">
        <v>147</v>
      </c>
      <c r="C341" s="654"/>
      <c r="D341" s="835" t="s">
        <v>406</v>
      </c>
      <c r="E341" s="836"/>
      <c r="F341" s="76"/>
      <c r="G341" s="76"/>
      <c r="H341" s="76"/>
      <c r="I341" s="76"/>
      <c r="J341" s="77"/>
    </row>
    <row r="342" spans="2:10" x14ac:dyDescent="0.25">
      <c r="B342" s="657"/>
      <c r="C342" s="658"/>
      <c r="D342" s="704" t="s">
        <v>168</v>
      </c>
      <c r="E342" s="660"/>
      <c r="F342" s="23"/>
      <c r="G342" s="52"/>
      <c r="H342" s="23"/>
      <c r="I342" s="23"/>
      <c r="J342" s="25"/>
    </row>
    <row r="343" spans="2:10" ht="38.25" customHeight="1" x14ac:dyDescent="0.25">
      <c r="B343" s="54"/>
      <c r="C343" s="55"/>
      <c r="D343" s="370"/>
      <c r="E343" s="371" t="str">
        <f>CENIK_št_1!B41</f>
        <v>Delovodja, Skupinovodja, Preglednik, Dispečer, Voznik, Strojnik</v>
      </c>
      <c r="F343" s="23">
        <v>2</v>
      </c>
      <c r="G343" s="24">
        <f>G218</f>
        <v>21.02</v>
      </c>
      <c r="H343" s="23"/>
      <c r="I343" s="23"/>
      <c r="J343" s="25">
        <f>F343*G343</f>
        <v>42.04</v>
      </c>
    </row>
    <row r="344" spans="2:10" x14ac:dyDescent="0.25">
      <c r="B344" s="58"/>
      <c r="C344" s="59"/>
      <c r="D344" s="776" t="str">
        <f>CENIK_št_1!B63</f>
        <v>Tovorno vozilo do 3,5 t sdm</v>
      </c>
      <c r="E344" s="724"/>
      <c r="F344" s="23">
        <v>0.5</v>
      </c>
      <c r="G344" s="86">
        <f>CENIK_št_1!K63</f>
        <v>33.81</v>
      </c>
      <c r="H344" s="84"/>
      <c r="I344" s="84"/>
      <c r="J344" s="87">
        <f>F344*G344</f>
        <v>16.905000000000001</v>
      </c>
    </row>
    <row r="345" spans="2:10" x14ac:dyDescent="0.25">
      <c r="B345" s="54"/>
      <c r="C345" s="55"/>
      <c r="D345" s="688" t="s">
        <v>193</v>
      </c>
      <c r="E345" s="689"/>
      <c r="F345" s="90"/>
      <c r="G345" s="86"/>
      <c r="H345" s="91"/>
      <c r="I345" s="91"/>
      <c r="J345" s="87"/>
    </row>
    <row r="346" spans="2:10" ht="24.75" customHeight="1" x14ac:dyDescent="0.25">
      <c r="B346" s="54"/>
      <c r="C346" s="55"/>
      <c r="D346" s="776" t="str">
        <f>CENIK_št_1!B121</f>
        <v>Ročna kosilnica mulčar</v>
      </c>
      <c r="E346" s="724"/>
      <c r="F346" s="23">
        <v>1</v>
      </c>
      <c r="G346" s="86">
        <f>CENIK_št_1!K121</f>
        <v>8.6178749999999997</v>
      </c>
      <c r="H346" s="91"/>
      <c r="I346" s="91"/>
      <c r="J346" s="87">
        <f>F346*G346</f>
        <v>8.6178749999999997</v>
      </c>
    </row>
    <row r="347" spans="2:10" x14ac:dyDescent="0.25">
      <c r="B347" s="54"/>
      <c r="C347" s="55"/>
      <c r="D347" s="860" t="str">
        <f>CENIK_št_1!B122</f>
        <v>Ročna motorna kosa</v>
      </c>
      <c r="E347" s="844"/>
      <c r="F347" s="23">
        <v>0.2</v>
      </c>
      <c r="G347" s="86">
        <f>CENIK_št_1!K122</f>
        <v>7.8251250000000008</v>
      </c>
      <c r="H347" s="91"/>
      <c r="I347" s="91"/>
      <c r="J347" s="87">
        <f>F347*G347</f>
        <v>1.5650250000000003</v>
      </c>
    </row>
    <row r="348" spans="2:10" ht="15.75" thickBot="1" x14ac:dyDescent="0.3">
      <c r="B348" s="350"/>
      <c r="C348" s="351"/>
      <c r="D348" s="352"/>
      <c r="E348" s="353" t="str">
        <f>CENIK_št_1!B125</f>
        <v>Pihalnik listja</v>
      </c>
      <c r="F348" s="28">
        <v>0.2</v>
      </c>
      <c r="G348" s="93">
        <f>CENIK_št_1!K125</f>
        <v>9.6783749999999991</v>
      </c>
      <c r="H348" s="94"/>
      <c r="I348" s="94"/>
      <c r="J348" s="87">
        <f>F348*G348</f>
        <v>1.9356749999999998</v>
      </c>
    </row>
    <row r="349" spans="2:10" ht="15.75" thickBot="1" x14ac:dyDescent="0.3">
      <c r="B349" s="663"/>
      <c r="C349" s="664"/>
      <c r="D349" s="665" t="s">
        <v>190</v>
      </c>
      <c r="E349" s="666"/>
      <c r="F349" s="22">
        <v>700</v>
      </c>
      <c r="G349" s="60"/>
      <c r="H349" s="22"/>
      <c r="I349" s="22">
        <v>1</v>
      </c>
      <c r="J349" s="383">
        <f>SUM(J343:J348)/F349</f>
        <v>0.10151939285714288</v>
      </c>
    </row>
    <row r="350" spans="2:10" ht="15.75" thickBot="1" x14ac:dyDescent="0.3"/>
    <row r="351" spans="2:10" ht="15.75" thickBot="1" x14ac:dyDescent="0.3">
      <c r="B351" s="577" t="s">
        <v>140</v>
      </c>
      <c r="C351" s="579"/>
      <c r="D351" s="577" t="s">
        <v>131</v>
      </c>
      <c r="E351" s="578"/>
      <c r="F351" s="578"/>
      <c r="G351" s="578"/>
      <c r="H351" s="578"/>
      <c r="I351" s="578"/>
      <c r="J351" s="579"/>
    </row>
    <row r="352" spans="2:10" ht="23.25" thickBot="1" x14ac:dyDescent="0.3">
      <c r="B352" s="649" t="s">
        <v>36</v>
      </c>
      <c r="C352" s="650"/>
      <c r="D352" s="651" t="s">
        <v>37</v>
      </c>
      <c r="E352" s="652"/>
      <c r="F352" s="48" t="s">
        <v>167</v>
      </c>
      <c r="G352" s="48" t="s">
        <v>156</v>
      </c>
      <c r="H352" s="48" t="s">
        <v>172</v>
      </c>
      <c r="I352" s="61" t="s">
        <v>183</v>
      </c>
      <c r="J352" s="49" t="s">
        <v>41</v>
      </c>
    </row>
    <row r="353" spans="2:10" ht="33" customHeight="1" x14ac:dyDescent="0.25">
      <c r="B353" s="653" t="s">
        <v>148</v>
      </c>
      <c r="C353" s="654"/>
      <c r="D353" s="835" t="s">
        <v>407</v>
      </c>
      <c r="E353" s="836"/>
      <c r="F353" s="76"/>
      <c r="G353" s="76"/>
      <c r="H353" s="76"/>
      <c r="I353" s="76"/>
      <c r="J353" s="77"/>
    </row>
    <row r="354" spans="2:10" x14ac:dyDescent="0.25">
      <c r="B354" s="657"/>
      <c r="C354" s="658"/>
      <c r="D354" s="704" t="s">
        <v>168</v>
      </c>
      <c r="E354" s="660"/>
      <c r="F354" s="23"/>
      <c r="G354" s="52"/>
      <c r="H354" s="23"/>
      <c r="I354" s="23"/>
      <c r="J354" s="25"/>
    </row>
    <row r="355" spans="2:10" ht="38.25" x14ac:dyDescent="0.25">
      <c r="B355" s="54"/>
      <c r="C355" s="55"/>
      <c r="D355" s="370"/>
      <c r="E355" s="371" t="str">
        <f>E343</f>
        <v>Delovodja, Skupinovodja, Preglednik, Dispečer, Voznik, Strojnik</v>
      </c>
      <c r="F355" s="23">
        <v>1</v>
      </c>
      <c r="G355" s="24">
        <f>G343</f>
        <v>21.02</v>
      </c>
      <c r="H355" s="23"/>
      <c r="I355" s="23"/>
      <c r="J355" s="25">
        <f>F355*G355</f>
        <v>21.02</v>
      </c>
    </row>
    <row r="356" spans="2:10" x14ac:dyDescent="0.25">
      <c r="B356" s="54"/>
      <c r="C356" s="55"/>
      <c r="D356" s="841" t="s">
        <v>13</v>
      </c>
      <c r="E356" s="842"/>
      <c r="F356" s="23">
        <v>0.1</v>
      </c>
      <c r="G356" s="24">
        <f>G344</f>
        <v>33.81</v>
      </c>
      <c r="H356" s="23"/>
      <c r="I356" s="23"/>
      <c r="J356" s="25">
        <f>F356*G356</f>
        <v>3.3810000000000002</v>
      </c>
    </row>
    <row r="357" spans="2:10" x14ac:dyDescent="0.25">
      <c r="B357" s="54"/>
      <c r="C357" s="55"/>
      <c r="D357" s="688" t="s">
        <v>193</v>
      </c>
      <c r="E357" s="689"/>
      <c r="F357" s="90"/>
      <c r="G357" s="86"/>
      <c r="H357" s="91"/>
      <c r="I357" s="91"/>
      <c r="J357" s="87"/>
    </row>
    <row r="358" spans="2:10" x14ac:dyDescent="0.25">
      <c r="B358" s="54"/>
      <c r="C358" s="55"/>
      <c r="D358" s="776" t="str">
        <f>CENIK_št_1!B119</f>
        <v>Kosilnica širine 100cm</v>
      </c>
      <c r="E358" s="724"/>
      <c r="F358" s="23">
        <v>1</v>
      </c>
      <c r="G358" s="86">
        <f>CENIK_št_1!K119</f>
        <v>14.994</v>
      </c>
      <c r="H358" s="91"/>
      <c r="I358" s="91"/>
      <c r="J358" s="87">
        <f>F358*G358</f>
        <v>14.994</v>
      </c>
    </row>
    <row r="359" spans="2:10" x14ac:dyDescent="0.25">
      <c r="B359" s="54"/>
      <c r="C359" s="55"/>
      <c r="D359" s="843" t="str">
        <f>D347</f>
        <v>Ročna motorna kosa</v>
      </c>
      <c r="E359" s="844"/>
      <c r="F359" s="23">
        <v>0.1</v>
      </c>
      <c r="G359" s="86">
        <f>G347</f>
        <v>7.8251250000000008</v>
      </c>
      <c r="H359" s="91"/>
      <c r="I359" s="91"/>
      <c r="J359" s="87">
        <f>F359*G359</f>
        <v>0.78251250000000017</v>
      </c>
    </row>
    <row r="360" spans="2:10" ht="15.75" thickBot="1" x14ac:dyDescent="0.3">
      <c r="B360" s="350"/>
      <c r="C360" s="351"/>
      <c r="D360" s="352"/>
      <c r="E360" s="353" t="str">
        <f>E348</f>
        <v>Pihalnik listja</v>
      </c>
      <c r="F360" s="28">
        <v>0.1</v>
      </c>
      <c r="G360" s="93">
        <f>CENIK_št_1!K125</f>
        <v>9.6783749999999991</v>
      </c>
      <c r="H360" s="94"/>
      <c r="I360" s="94"/>
      <c r="J360" s="87">
        <f>F360*G360</f>
        <v>0.96783749999999991</v>
      </c>
    </row>
    <row r="361" spans="2:10" ht="15.75" thickBot="1" x14ac:dyDescent="0.3">
      <c r="B361" s="663"/>
      <c r="C361" s="664"/>
      <c r="D361" s="665" t="s">
        <v>190</v>
      </c>
      <c r="E361" s="666"/>
      <c r="F361" s="22">
        <v>700</v>
      </c>
      <c r="G361" s="60"/>
      <c r="H361" s="22"/>
      <c r="I361" s="22">
        <v>1</v>
      </c>
      <c r="J361" s="383">
        <f>SUM(J355:J360)/F361</f>
        <v>5.8779071428571431E-2</v>
      </c>
    </row>
    <row r="362" spans="2:10" ht="15.75" thickBot="1" x14ac:dyDescent="0.3"/>
    <row r="363" spans="2:10" ht="15.75" thickBot="1" x14ac:dyDescent="0.3">
      <c r="B363" s="577" t="s">
        <v>140</v>
      </c>
      <c r="C363" s="579"/>
      <c r="D363" s="577" t="s">
        <v>131</v>
      </c>
      <c r="E363" s="578"/>
      <c r="F363" s="578"/>
      <c r="G363" s="578"/>
      <c r="H363" s="578"/>
      <c r="I363" s="578"/>
      <c r="J363" s="579"/>
    </row>
    <row r="364" spans="2:10" ht="23.25" thickBot="1" x14ac:dyDescent="0.3">
      <c r="B364" s="649" t="s">
        <v>36</v>
      </c>
      <c r="C364" s="650"/>
      <c r="D364" s="651" t="s">
        <v>37</v>
      </c>
      <c r="E364" s="652"/>
      <c r="F364" s="48" t="s">
        <v>167</v>
      </c>
      <c r="G364" s="48" t="s">
        <v>156</v>
      </c>
      <c r="H364" s="48" t="s">
        <v>172</v>
      </c>
      <c r="I364" s="61" t="s">
        <v>183</v>
      </c>
      <c r="J364" s="49" t="s">
        <v>41</v>
      </c>
    </row>
    <row r="365" spans="2:10" ht="29.25" customHeight="1" x14ac:dyDescent="0.25">
      <c r="B365" s="653" t="s">
        <v>149</v>
      </c>
      <c r="C365" s="654"/>
      <c r="D365" s="835" t="s">
        <v>408</v>
      </c>
      <c r="E365" s="836"/>
      <c r="F365" s="76"/>
      <c r="G365" s="76"/>
      <c r="H365" s="76"/>
      <c r="I365" s="76"/>
      <c r="J365" s="77"/>
    </row>
    <row r="366" spans="2:10" x14ac:dyDescent="0.25">
      <c r="B366" s="657"/>
      <c r="C366" s="658"/>
      <c r="D366" s="704" t="s">
        <v>168</v>
      </c>
      <c r="E366" s="660"/>
      <c r="F366" s="23"/>
      <c r="G366" s="52"/>
      <c r="H366" s="23"/>
      <c r="I366" s="23"/>
      <c r="J366" s="25"/>
    </row>
    <row r="367" spans="2:10" x14ac:dyDescent="0.25">
      <c r="B367" s="54"/>
      <c r="C367" s="55"/>
      <c r="D367" s="370"/>
      <c r="E367" s="379" t="s">
        <v>17</v>
      </c>
      <c r="F367" s="23">
        <v>2</v>
      </c>
      <c r="G367" s="24">
        <f>CENIK_št_1!K78</f>
        <v>49.57</v>
      </c>
      <c r="H367" s="23"/>
      <c r="I367" s="23"/>
      <c r="J367" s="25">
        <f>F367*G367</f>
        <v>99.14</v>
      </c>
    </row>
    <row r="368" spans="2:10" x14ac:dyDescent="0.25">
      <c r="B368" s="54"/>
      <c r="C368" s="55"/>
      <c r="D368" s="841" t="s">
        <v>219</v>
      </c>
      <c r="E368" s="842"/>
      <c r="F368" s="23">
        <v>2</v>
      </c>
      <c r="G368" s="24">
        <f>CENIK_št_1!K112</f>
        <v>18.878125000000001</v>
      </c>
      <c r="H368" s="23"/>
      <c r="I368" s="23"/>
      <c r="J368" s="25">
        <f>F368*G368</f>
        <v>37.756250000000001</v>
      </c>
    </row>
    <row r="369" spans="2:10" ht="17.25" customHeight="1" x14ac:dyDescent="0.25">
      <c r="B369" s="54"/>
      <c r="C369" s="55"/>
      <c r="D369" s="349"/>
      <c r="E369" s="379" t="s">
        <v>13</v>
      </c>
      <c r="F369" s="23">
        <v>1</v>
      </c>
      <c r="G369" s="24">
        <f>G356</f>
        <v>33.81</v>
      </c>
      <c r="H369" s="23"/>
      <c r="I369" s="23"/>
      <c r="J369" s="25">
        <f>F369*G369</f>
        <v>33.81</v>
      </c>
    </row>
    <row r="370" spans="2:10" ht="28.5" customHeight="1" x14ac:dyDescent="0.25">
      <c r="B370" s="54"/>
      <c r="C370" s="55"/>
      <c r="D370" s="837" t="s">
        <v>342</v>
      </c>
      <c r="E370" s="838"/>
      <c r="F370" s="23">
        <v>1</v>
      </c>
      <c r="G370" s="24">
        <f>CENIK_št_1!K41</f>
        <v>21.02</v>
      </c>
      <c r="H370" s="23"/>
      <c r="I370" s="23"/>
      <c r="J370" s="25">
        <f>F370*G370</f>
        <v>21.02</v>
      </c>
    </row>
    <row r="371" spans="2:10" x14ac:dyDescent="0.25">
      <c r="B371" s="54"/>
      <c r="C371" s="55"/>
      <c r="D371" s="688" t="s">
        <v>193</v>
      </c>
      <c r="E371" s="689"/>
      <c r="F371" s="90"/>
      <c r="G371" s="86"/>
      <c r="H371" s="91"/>
      <c r="I371" s="91"/>
      <c r="J371" s="87"/>
    </row>
    <row r="372" spans="2:10" x14ac:dyDescent="0.25">
      <c r="B372" s="54"/>
      <c r="C372" s="55"/>
      <c r="D372" s="843" t="str">
        <f>D359</f>
        <v>Ročna motorna kosa</v>
      </c>
      <c r="E372" s="844"/>
      <c r="F372" s="23">
        <v>1</v>
      </c>
      <c r="G372" s="86">
        <f>CENIK_št_1!K122</f>
        <v>7.8251250000000008</v>
      </c>
      <c r="H372" s="91"/>
      <c r="I372" s="91"/>
      <c r="J372" s="87">
        <f>F372*G372</f>
        <v>7.8251250000000008</v>
      </c>
    </row>
    <row r="373" spans="2:10" ht="15.75" thickBot="1" x14ac:dyDescent="0.3">
      <c r="B373" s="350"/>
      <c r="C373" s="351"/>
      <c r="D373" s="352"/>
      <c r="E373" s="353" t="str">
        <f>E360</f>
        <v>Pihalnik listja</v>
      </c>
      <c r="F373" s="28">
        <v>0.5</v>
      </c>
      <c r="G373" s="93">
        <f>G360</f>
        <v>9.6783749999999991</v>
      </c>
      <c r="H373" s="94"/>
      <c r="I373" s="94"/>
      <c r="J373" s="87">
        <f>F373*G373</f>
        <v>4.8391874999999995</v>
      </c>
    </row>
    <row r="374" spans="2:10" ht="15.75" thickBot="1" x14ac:dyDescent="0.3">
      <c r="B374" s="663"/>
      <c r="C374" s="664"/>
      <c r="D374" s="665" t="s">
        <v>190</v>
      </c>
      <c r="E374" s="666"/>
      <c r="F374" s="22">
        <v>700</v>
      </c>
      <c r="G374" s="60"/>
      <c r="H374" s="22"/>
      <c r="I374" s="22">
        <v>1</v>
      </c>
      <c r="J374" s="383">
        <f>SUM(J367:J373)/F374</f>
        <v>0.29198651785714291</v>
      </c>
    </row>
    <row r="375" spans="2:10" ht="15.75" thickBot="1" x14ac:dyDescent="0.3"/>
    <row r="376" spans="2:10" ht="15.75" thickBot="1" x14ac:dyDescent="0.3">
      <c r="B376" s="577" t="s">
        <v>140</v>
      </c>
      <c r="C376" s="579"/>
      <c r="D376" s="577" t="s">
        <v>131</v>
      </c>
      <c r="E376" s="578"/>
      <c r="F376" s="578"/>
      <c r="G376" s="578"/>
      <c r="H376" s="578"/>
      <c r="I376" s="578"/>
      <c r="J376" s="579"/>
    </row>
    <row r="377" spans="2:10" ht="23.25" thickBot="1" x14ac:dyDescent="0.3">
      <c r="B377" s="649" t="s">
        <v>36</v>
      </c>
      <c r="C377" s="650"/>
      <c r="D377" s="651" t="s">
        <v>37</v>
      </c>
      <c r="E377" s="652"/>
      <c r="F377" s="48" t="s">
        <v>167</v>
      </c>
      <c r="G377" s="48" t="s">
        <v>156</v>
      </c>
      <c r="H377" s="48" t="s">
        <v>172</v>
      </c>
      <c r="I377" s="61" t="s">
        <v>183</v>
      </c>
      <c r="J377" s="49" t="s">
        <v>41</v>
      </c>
    </row>
    <row r="378" spans="2:10" ht="21.75" customHeight="1" x14ac:dyDescent="0.25">
      <c r="B378" s="653" t="s">
        <v>150</v>
      </c>
      <c r="C378" s="654"/>
      <c r="D378" s="835" t="s">
        <v>409</v>
      </c>
      <c r="E378" s="836"/>
      <c r="F378" s="76"/>
      <c r="G378" s="76"/>
      <c r="H378" s="76"/>
      <c r="I378" s="76"/>
      <c r="J378" s="77"/>
    </row>
    <row r="379" spans="2:10" x14ac:dyDescent="0.25">
      <c r="B379" s="657"/>
      <c r="C379" s="658"/>
      <c r="D379" s="704" t="s">
        <v>168</v>
      </c>
      <c r="E379" s="660"/>
      <c r="F379" s="23"/>
      <c r="G379" s="52"/>
      <c r="H379" s="23"/>
      <c r="I379" s="23"/>
      <c r="J379" s="25"/>
    </row>
    <row r="380" spans="2:10" x14ac:dyDescent="0.25">
      <c r="B380" s="54"/>
      <c r="C380" s="55"/>
      <c r="D380" s="370"/>
      <c r="E380" s="379" t="s">
        <v>17</v>
      </c>
      <c r="F380" s="23">
        <v>3.5</v>
      </c>
      <c r="G380" s="24">
        <f>CENIK_št_1!K78</f>
        <v>49.57</v>
      </c>
      <c r="H380" s="23"/>
      <c r="I380" s="23"/>
      <c r="J380" s="25">
        <f>F380*G380</f>
        <v>173.495</v>
      </c>
    </row>
    <row r="381" spans="2:10" x14ac:dyDescent="0.25">
      <c r="B381" s="54"/>
      <c r="C381" s="55"/>
      <c r="D381" s="841" t="s">
        <v>219</v>
      </c>
      <c r="E381" s="842"/>
      <c r="F381" s="23">
        <v>3.5</v>
      </c>
      <c r="G381" s="24">
        <f>CENIK_št_1!K127</f>
        <v>15.09375</v>
      </c>
      <c r="H381" s="23"/>
      <c r="I381" s="23"/>
      <c r="J381" s="25">
        <f>F381*G381</f>
        <v>52.828125</v>
      </c>
    </row>
    <row r="382" spans="2:10" ht="27.75" customHeight="1" x14ac:dyDescent="0.25">
      <c r="B382" s="54"/>
      <c r="C382" s="55"/>
      <c r="D382" s="837" t="s">
        <v>342</v>
      </c>
      <c r="E382" s="838"/>
      <c r="F382" s="23">
        <v>1</v>
      </c>
      <c r="G382" s="24">
        <f>G370</f>
        <v>21.02</v>
      </c>
      <c r="H382" s="23"/>
      <c r="I382" s="23"/>
      <c r="J382" s="25">
        <f>F382*G382</f>
        <v>21.02</v>
      </c>
    </row>
    <row r="383" spans="2:10" x14ac:dyDescent="0.25">
      <c r="B383" s="54"/>
      <c r="C383" s="55"/>
      <c r="D383" s="688" t="s">
        <v>193</v>
      </c>
      <c r="E383" s="689"/>
      <c r="F383" s="90"/>
      <c r="G383" s="86"/>
      <c r="H383" s="91"/>
      <c r="I383" s="91"/>
      <c r="J383" s="87"/>
    </row>
    <row r="384" spans="2:10" ht="15.75" thickBot="1" x14ac:dyDescent="0.3">
      <c r="B384" s="350"/>
      <c r="C384" s="351"/>
      <c r="D384" s="352"/>
      <c r="E384" s="353" t="str">
        <f>E373</f>
        <v>Pihalnik listja</v>
      </c>
      <c r="F384" s="28">
        <v>0.5</v>
      </c>
      <c r="G384" s="93">
        <f>G373</f>
        <v>9.6783749999999991</v>
      </c>
      <c r="H384" s="94"/>
      <c r="I384" s="94"/>
      <c r="J384" s="87">
        <f>F384*G384</f>
        <v>4.8391874999999995</v>
      </c>
    </row>
    <row r="385" spans="2:10" ht="15.75" thickBot="1" x14ac:dyDescent="0.3">
      <c r="B385" s="663"/>
      <c r="C385" s="664"/>
      <c r="D385" s="665" t="s">
        <v>190</v>
      </c>
      <c r="E385" s="666"/>
      <c r="F385" s="22">
        <v>700</v>
      </c>
      <c r="G385" s="60"/>
      <c r="H385" s="22"/>
      <c r="I385" s="22">
        <v>1</v>
      </c>
      <c r="J385" s="383">
        <f>SUM(J380:J384)/F385</f>
        <v>0.36026044642857147</v>
      </c>
    </row>
    <row r="386" spans="2:10" ht="15.75" thickBot="1" x14ac:dyDescent="0.3"/>
    <row r="387" spans="2:10" ht="15.75" thickBot="1" x14ac:dyDescent="0.3">
      <c r="B387" s="577" t="s">
        <v>140</v>
      </c>
      <c r="C387" s="579"/>
      <c r="D387" s="577" t="s">
        <v>131</v>
      </c>
      <c r="E387" s="578"/>
      <c r="F387" s="578"/>
      <c r="G387" s="578"/>
      <c r="H387" s="578"/>
      <c r="I387" s="578"/>
      <c r="J387" s="579"/>
    </row>
    <row r="388" spans="2:10" ht="23.25" thickBot="1" x14ac:dyDescent="0.3">
      <c r="B388" s="649" t="s">
        <v>36</v>
      </c>
      <c r="C388" s="650"/>
      <c r="D388" s="651" t="s">
        <v>37</v>
      </c>
      <c r="E388" s="652"/>
      <c r="F388" s="48" t="s">
        <v>167</v>
      </c>
      <c r="G388" s="48" t="s">
        <v>156</v>
      </c>
      <c r="H388" s="48" t="s">
        <v>172</v>
      </c>
      <c r="I388" s="61" t="s">
        <v>183</v>
      </c>
      <c r="J388" s="49" t="s">
        <v>41</v>
      </c>
    </row>
    <row r="389" spans="2:10" ht="36" customHeight="1" x14ac:dyDescent="0.25">
      <c r="B389" s="653" t="s">
        <v>149</v>
      </c>
      <c r="C389" s="654"/>
      <c r="D389" s="835" t="s">
        <v>410</v>
      </c>
      <c r="E389" s="836"/>
      <c r="F389" s="76"/>
      <c r="G389" s="76"/>
      <c r="H389" s="76"/>
      <c r="I389" s="76"/>
      <c r="J389" s="77"/>
    </row>
    <row r="390" spans="2:10" x14ac:dyDescent="0.25">
      <c r="B390" s="657"/>
      <c r="C390" s="658"/>
      <c r="D390" s="704" t="s">
        <v>168</v>
      </c>
      <c r="E390" s="660"/>
      <c r="F390" s="23"/>
      <c r="G390" s="52"/>
      <c r="H390" s="23"/>
      <c r="I390" s="23"/>
      <c r="J390" s="25"/>
    </row>
    <row r="391" spans="2:10" x14ac:dyDescent="0.25">
      <c r="B391" s="54"/>
      <c r="C391" s="55"/>
      <c r="D391" s="370"/>
      <c r="E391" s="379" t="s">
        <v>17</v>
      </c>
      <c r="F391" s="23">
        <v>3.5</v>
      </c>
      <c r="G391" s="24">
        <f>G380</f>
        <v>49.57</v>
      </c>
      <c r="H391" s="23"/>
      <c r="I391" s="23"/>
      <c r="J391" s="25">
        <f>F391*G391</f>
        <v>173.495</v>
      </c>
    </row>
    <row r="392" spans="2:10" x14ac:dyDescent="0.25">
      <c r="B392" s="54"/>
      <c r="C392" s="55"/>
      <c r="D392" s="841" t="s">
        <v>219</v>
      </c>
      <c r="E392" s="842"/>
      <c r="F392" s="23">
        <v>3.5</v>
      </c>
      <c r="G392" s="24">
        <f>G381</f>
        <v>15.09375</v>
      </c>
      <c r="H392" s="23"/>
      <c r="I392" s="23"/>
      <c r="J392" s="25">
        <f>F392*G392</f>
        <v>52.828125</v>
      </c>
    </row>
    <row r="393" spans="2:10" ht="25.5" x14ac:dyDescent="0.25">
      <c r="B393" s="54"/>
      <c r="C393" s="55"/>
      <c r="D393" s="349"/>
      <c r="E393" s="379" t="s">
        <v>13</v>
      </c>
      <c r="F393" s="23">
        <v>2</v>
      </c>
      <c r="G393" s="24">
        <f>G380</f>
        <v>49.57</v>
      </c>
      <c r="H393" s="23"/>
      <c r="I393" s="23"/>
      <c r="J393" s="25">
        <f>F393*G393</f>
        <v>99.14</v>
      </c>
    </row>
    <row r="394" spans="2:10" ht="28.5" customHeight="1" x14ac:dyDescent="0.25">
      <c r="B394" s="54"/>
      <c r="C394" s="55"/>
      <c r="D394" s="841" t="s">
        <v>342</v>
      </c>
      <c r="E394" s="842"/>
      <c r="F394" s="23">
        <v>4</v>
      </c>
      <c r="G394" s="24">
        <f>G382</f>
        <v>21.02</v>
      </c>
      <c r="H394" s="23"/>
      <c r="I394" s="23"/>
      <c r="J394" s="25">
        <f>F394*G394</f>
        <v>84.08</v>
      </c>
    </row>
    <row r="395" spans="2:10" x14ac:dyDescent="0.25">
      <c r="B395" s="54"/>
      <c r="C395" s="55"/>
      <c r="D395" s="372"/>
      <c r="E395" s="379" t="s">
        <v>325</v>
      </c>
      <c r="F395" s="23">
        <v>4</v>
      </c>
      <c r="G395" s="24">
        <f>CENIK_št_1!K40</f>
        <v>20.75</v>
      </c>
      <c r="H395" s="23"/>
      <c r="I395" s="23"/>
      <c r="J395" s="25">
        <f>F395*G395</f>
        <v>83</v>
      </c>
    </row>
    <row r="396" spans="2:10" x14ac:dyDescent="0.25">
      <c r="B396" s="54"/>
      <c r="C396" s="55"/>
      <c r="D396" s="688" t="s">
        <v>193</v>
      </c>
      <c r="E396" s="689"/>
      <c r="F396" s="90"/>
      <c r="G396" s="86"/>
      <c r="H396" s="91"/>
      <c r="I396" s="91"/>
      <c r="J396" s="87"/>
    </row>
    <row r="397" spans="2:10" x14ac:dyDescent="0.25">
      <c r="B397" s="54"/>
      <c r="C397" s="55"/>
      <c r="D397" s="322"/>
      <c r="E397" s="324" t="str">
        <f>D372</f>
        <v>Ročna motorna kosa</v>
      </c>
      <c r="F397" s="90">
        <v>6</v>
      </c>
      <c r="G397" s="86">
        <f>CENIK_št_1!K122</f>
        <v>7.8251250000000008</v>
      </c>
      <c r="H397" s="91"/>
      <c r="I397" s="91"/>
      <c r="J397" s="87">
        <f>F397*G397</f>
        <v>46.950750000000006</v>
      </c>
    </row>
    <row r="398" spans="2:10" x14ac:dyDescent="0.25">
      <c r="B398" s="54"/>
      <c r="C398" s="55"/>
      <c r="D398" s="843" t="str">
        <f>E373</f>
        <v>Pihalnik listja</v>
      </c>
      <c r="E398" s="844"/>
      <c r="F398" s="23">
        <v>3</v>
      </c>
      <c r="G398" s="86">
        <f>G384</f>
        <v>9.6783749999999991</v>
      </c>
      <c r="H398" s="91"/>
      <c r="I398" s="91"/>
      <c r="J398" s="87">
        <f>F398*G398</f>
        <v>29.035124999999997</v>
      </c>
    </row>
    <row r="399" spans="2:10" x14ac:dyDescent="0.25">
      <c r="B399" s="350"/>
      <c r="C399" s="351"/>
      <c r="D399" s="352"/>
      <c r="E399" s="353"/>
      <c r="F399" s="28"/>
      <c r="G399" s="93"/>
      <c r="H399" s="94"/>
      <c r="I399" s="94"/>
      <c r="J399" s="87"/>
    </row>
    <row r="400" spans="2:10" ht="15.75" thickBot="1" x14ac:dyDescent="0.3">
      <c r="B400" s="663"/>
      <c r="C400" s="664"/>
      <c r="D400" s="665" t="s">
        <v>190</v>
      </c>
      <c r="E400" s="666"/>
      <c r="F400" s="22">
        <v>700</v>
      </c>
      <c r="G400" s="60"/>
      <c r="H400" s="22"/>
      <c r="I400" s="22">
        <v>1</v>
      </c>
      <c r="J400" s="383">
        <f>SUM(J391:J399)/F400</f>
        <v>0.81218428571428569</v>
      </c>
    </row>
    <row r="402" spans="2:10" ht="15.75" thickBot="1" x14ac:dyDescent="0.3">
      <c r="B402" s="57"/>
      <c r="C402" s="57"/>
      <c r="D402" s="57"/>
      <c r="E402" s="57"/>
      <c r="F402" s="57"/>
      <c r="G402" s="57"/>
      <c r="H402" s="57"/>
      <c r="I402" s="57"/>
      <c r="J402" s="57"/>
    </row>
    <row r="403" spans="2:10" ht="15.75" thickTop="1" x14ac:dyDescent="0.25"/>
    <row r="404" spans="2:10" ht="15.75" thickBot="1" x14ac:dyDescent="0.3"/>
    <row r="405" spans="2:10" ht="15.75" thickBot="1" x14ac:dyDescent="0.3">
      <c r="B405" s="577" t="s">
        <v>151</v>
      </c>
      <c r="C405" s="579"/>
      <c r="D405" s="583" t="s">
        <v>144</v>
      </c>
      <c r="E405" s="584"/>
      <c r="F405" s="584"/>
      <c r="G405" s="584"/>
      <c r="H405" s="584"/>
      <c r="I405" s="584"/>
      <c r="J405" s="585"/>
    </row>
    <row r="406" spans="2:10" ht="23.25" thickBot="1" x14ac:dyDescent="0.3">
      <c r="B406" s="649" t="s">
        <v>36</v>
      </c>
      <c r="C406" s="650"/>
      <c r="D406" s="651" t="s">
        <v>37</v>
      </c>
      <c r="E406" s="652"/>
      <c r="F406" s="48" t="s">
        <v>167</v>
      </c>
      <c r="G406" s="48" t="s">
        <v>156</v>
      </c>
      <c r="H406" s="48" t="s">
        <v>172</v>
      </c>
      <c r="I406" s="61" t="s">
        <v>183</v>
      </c>
      <c r="J406" s="49" t="s">
        <v>41</v>
      </c>
    </row>
    <row r="407" spans="2:10" ht="29.25" customHeight="1" x14ac:dyDescent="0.25">
      <c r="B407" s="653" t="s">
        <v>152</v>
      </c>
      <c r="C407" s="654"/>
      <c r="D407" s="830" t="s">
        <v>146</v>
      </c>
      <c r="E407" s="831"/>
      <c r="F407" s="76"/>
      <c r="G407" s="76"/>
      <c r="H407" s="76"/>
      <c r="I407" s="76"/>
      <c r="J407" s="77"/>
    </row>
    <row r="408" spans="2:10" x14ac:dyDescent="0.25">
      <c r="B408" s="657"/>
      <c r="C408" s="658"/>
      <c r="D408" s="704" t="s">
        <v>168</v>
      </c>
      <c r="E408" s="660"/>
      <c r="F408" s="23"/>
      <c r="G408" s="52"/>
      <c r="H408" s="23"/>
      <c r="I408" s="23"/>
      <c r="J408" s="25"/>
    </row>
    <row r="409" spans="2:10" x14ac:dyDescent="0.25">
      <c r="B409" s="54"/>
      <c r="C409" s="55"/>
      <c r="D409" s="326"/>
      <c r="E409" s="327" t="str">
        <f>CENIK_št_1!B63</f>
        <v>Tovorno vozilo do 3,5 t sdm</v>
      </c>
      <c r="F409" s="23">
        <v>1</v>
      </c>
      <c r="G409" s="24">
        <f>CENIK_št_1!K63</f>
        <v>33.81</v>
      </c>
      <c r="H409" s="23"/>
      <c r="I409" s="23"/>
      <c r="J409" s="25">
        <f>F409*G409</f>
        <v>33.81</v>
      </c>
    </row>
    <row r="410" spans="2:10" x14ac:dyDescent="0.25">
      <c r="B410" s="54"/>
      <c r="C410" s="55"/>
      <c r="D410" s="326"/>
      <c r="E410" s="369" t="str">
        <f>CENIK_št_1!B40</f>
        <v xml:space="preserve">Komunalni delavec </v>
      </c>
      <c r="F410" s="23">
        <v>1</v>
      </c>
      <c r="G410" s="24">
        <f>CENIK_št_1!K40</f>
        <v>20.75</v>
      </c>
      <c r="H410" s="23"/>
      <c r="I410" s="23"/>
      <c r="J410" s="25">
        <f>F410*G410</f>
        <v>20.75</v>
      </c>
    </row>
    <row r="411" spans="2:10" ht="25.5" customHeight="1" x14ac:dyDescent="0.25">
      <c r="B411" s="54"/>
      <c r="C411" s="55"/>
      <c r="D411" s="839" t="s">
        <v>411</v>
      </c>
      <c r="E411" s="840"/>
      <c r="F411" s="92">
        <v>1</v>
      </c>
      <c r="G411" s="24">
        <v>35</v>
      </c>
      <c r="H411" s="23"/>
      <c r="I411" s="23"/>
      <c r="J411" s="25">
        <f>F411*G411</f>
        <v>35</v>
      </c>
    </row>
    <row r="412" spans="2:10" x14ac:dyDescent="0.25">
      <c r="B412" s="58"/>
      <c r="C412" s="59"/>
      <c r="D412" s="688" t="s">
        <v>194</v>
      </c>
      <c r="E412" s="689"/>
      <c r="F412" s="27"/>
      <c r="G412" s="74"/>
      <c r="H412" s="27"/>
      <c r="I412" s="27"/>
      <c r="J412" s="73"/>
    </row>
    <row r="413" spans="2:10" ht="27.75" customHeight="1" thickBot="1" x14ac:dyDescent="0.3">
      <c r="B413" s="58"/>
      <c r="C413" s="59"/>
      <c r="D413" s="322"/>
      <c r="E413" s="325" t="str">
        <f>CENIK_št_1!B153</f>
        <v>Najemnina za cestno prometne znake</v>
      </c>
      <c r="F413" s="23">
        <v>2</v>
      </c>
      <c r="G413" s="74">
        <f>CENIK_št_1!K153</f>
        <v>2.2916666666666665</v>
      </c>
      <c r="H413" s="27"/>
      <c r="I413" s="27"/>
      <c r="J413" s="73">
        <f>F413*G413</f>
        <v>4.583333333333333</v>
      </c>
    </row>
    <row r="414" spans="2:10" ht="15.75" thickBot="1" x14ac:dyDescent="0.3">
      <c r="B414" s="663"/>
      <c r="C414" s="664"/>
      <c r="D414" s="665" t="s">
        <v>196</v>
      </c>
      <c r="E414" s="666"/>
      <c r="F414" s="22">
        <v>10</v>
      </c>
      <c r="G414" s="60"/>
      <c r="H414" s="22"/>
      <c r="I414" s="22">
        <v>1</v>
      </c>
      <c r="J414" s="50">
        <f>(J409+J410+J411+J413)/F414</f>
        <v>9.4143333333333334</v>
      </c>
    </row>
    <row r="415" spans="2:10" ht="15.75" thickBot="1" x14ac:dyDescent="0.3">
      <c r="B415" s="183"/>
      <c r="C415" s="183"/>
      <c r="D415" s="184"/>
      <c r="E415" s="184"/>
      <c r="F415" s="185"/>
      <c r="G415" s="186"/>
      <c r="H415" s="185"/>
      <c r="I415" s="185"/>
      <c r="J415" s="187"/>
    </row>
    <row r="416" spans="2:10" ht="15.75" thickBot="1" x14ac:dyDescent="0.3">
      <c r="B416" s="577" t="s">
        <v>151</v>
      </c>
      <c r="C416" s="579"/>
      <c r="D416" s="583" t="s">
        <v>144</v>
      </c>
      <c r="E416" s="584"/>
      <c r="F416" s="584"/>
      <c r="G416" s="584"/>
      <c r="H416" s="584"/>
      <c r="I416" s="584"/>
      <c r="J416" s="585"/>
    </row>
    <row r="417" spans="2:10" ht="23.25" thickBot="1" x14ac:dyDescent="0.3">
      <c r="B417" s="649" t="s">
        <v>36</v>
      </c>
      <c r="C417" s="650"/>
      <c r="D417" s="651" t="s">
        <v>37</v>
      </c>
      <c r="E417" s="652"/>
      <c r="F417" s="48" t="s">
        <v>167</v>
      </c>
      <c r="G417" s="48" t="s">
        <v>156</v>
      </c>
      <c r="H417" s="48" t="s">
        <v>172</v>
      </c>
      <c r="I417" s="61" t="s">
        <v>183</v>
      </c>
      <c r="J417" s="49" t="s">
        <v>41</v>
      </c>
    </row>
    <row r="418" spans="2:10" ht="47.25" customHeight="1" x14ac:dyDescent="0.25">
      <c r="B418" s="653" t="s">
        <v>153</v>
      </c>
      <c r="C418" s="654"/>
      <c r="D418" s="830" t="s">
        <v>412</v>
      </c>
      <c r="E418" s="831"/>
      <c r="F418" s="76"/>
      <c r="G418" s="76"/>
      <c r="H418" s="76"/>
      <c r="I418" s="76"/>
      <c r="J418" s="77"/>
    </row>
    <row r="419" spans="2:10" x14ac:dyDescent="0.25">
      <c r="B419" s="657"/>
      <c r="C419" s="658"/>
      <c r="D419" s="704" t="s">
        <v>168</v>
      </c>
      <c r="E419" s="660"/>
      <c r="F419" s="23"/>
      <c r="G419" s="52"/>
      <c r="H419" s="23"/>
      <c r="I419" s="23"/>
      <c r="J419" s="25"/>
    </row>
    <row r="420" spans="2:10" x14ac:dyDescent="0.25">
      <c r="B420" s="54"/>
      <c r="C420" s="55"/>
      <c r="D420" s="326"/>
      <c r="E420" s="327" t="str">
        <f>CENIK_št_1!B63</f>
        <v>Tovorno vozilo do 3,5 t sdm</v>
      </c>
      <c r="F420" s="23">
        <v>5</v>
      </c>
      <c r="G420" s="24">
        <f>CENIK_št_1!K63</f>
        <v>33.81</v>
      </c>
      <c r="H420" s="23"/>
      <c r="I420" s="23"/>
      <c r="J420" s="25">
        <f>F420*G420</f>
        <v>169.05</v>
      </c>
    </row>
    <row r="421" spans="2:10" ht="34.5" x14ac:dyDescent="0.25">
      <c r="B421" s="54"/>
      <c r="C421" s="55"/>
      <c r="D421" s="326"/>
      <c r="E421" s="359" t="str">
        <f>CENIK_št_1!B41</f>
        <v>Delovodja, Skupinovodja, Preglednik, Dispečer, Voznik, Strojnik</v>
      </c>
      <c r="F421" s="23">
        <v>5</v>
      </c>
      <c r="G421" s="24">
        <f>CENIK_št_1!K41</f>
        <v>21.02</v>
      </c>
      <c r="H421" s="23"/>
      <c r="I421" s="23"/>
      <c r="J421" s="25">
        <f t="shared" ref="J421:J425" si="0">F421*G421</f>
        <v>105.1</v>
      </c>
    </row>
    <row r="422" spans="2:10" x14ac:dyDescent="0.25">
      <c r="B422" s="58"/>
      <c r="C422" s="59"/>
      <c r="D422" s="688" t="s">
        <v>194</v>
      </c>
      <c r="E422" s="689"/>
      <c r="F422" s="27"/>
      <c r="G422" s="74"/>
      <c r="H422" s="27"/>
      <c r="I422" s="27"/>
      <c r="J422" s="25"/>
    </row>
    <row r="423" spans="2:10" x14ac:dyDescent="0.25">
      <c r="B423" s="58"/>
      <c r="C423" s="59"/>
      <c r="D423" s="322"/>
      <c r="E423" s="325" t="str">
        <f>CENIK_št_1!B130</f>
        <v>Električni bencinski agregat</v>
      </c>
      <c r="F423" s="23">
        <v>3</v>
      </c>
      <c r="G423" s="74">
        <f>CENIK_št_1!K130</f>
        <v>10.759583333333335</v>
      </c>
      <c r="H423" s="27"/>
      <c r="I423" s="27"/>
      <c r="J423" s="25">
        <f t="shared" si="0"/>
        <v>32.278750000000002</v>
      </c>
    </row>
    <row r="424" spans="2:10" x14ac:dyDescent="0.25">
      <c r="B424" s="58"/>
      <c r="C424" s="59"/>
      <c r="D424" s="322"/>
      <c r="E424" s="325" t="str">
        <f>CENIK_št_1!B131</f>
        <v>Električno udarno kladivo</v>
      </c>
      <c r="F424" s="23">
        <v>3</v>
      </c>
      <c r="G424" s="74">
        <f>CENIK_št_1!K131</f>
        <v>11.025</v>
      </c>
      <c r="H424" s="27"/>
      <c r="I424" s="27"/>
      <c r="J424" s="25">
        <f t="shared" si="0"/>
        <v>33.075000000000003</v>
      </c>
    </row>
    <row r="425" spans="2:10" ht="23.25" customHeight="1" thickBot="1" x14ac:dyDescent="0.3">
      <c r="B425" s="58"/>
      <c r="C425" s="59"/>
      <c r="D425" s="322"/>
      <c r="E425" s="325" t="str">
        <f>CENIK_št_1!B153</f>
        <v>Najemnina za cestno prometne znake</v>
      </c>
      <c r="F425" s="23">
        <v>2</v>
      </c>
      <c r="G425" s="74">
        <f>CENIK_št_1!K153</f>
        <v>2.2916666666666665</v>
      </c>
      <c r="H425" s="27"/>
      <c r="I425" s="27"/>
      <c r="J425" s="25">
        <f t="shared" si="0"/>
        <v>4.583333333333333</v>
      </c>
    </row>
    <row r="426" spans="2:10" ht="15.75" thickBot="1" x14ac:dyDescent="0.3">
      <c r="B426" s="663"/>
      <c r="C426" s="664"/>
      <c r="D426" s="665" t="s">
        <v>243</v>
      </c>
      <c r="E426" s="666"/>
      <c r="F426" s="22"/>
      <c r="G426" s="60"/>
      <c r="H426" s="22"/>
      <c r="I426" s="22">
        <v>1</v>
      </c>
      <c r="J426" s="50">
        <f>SUM(J420:J425)</f>
        <v>344.08708333333328</v>
      </c>
    </row>
    <row r="427" spans="2:10" ht="15.75" thickBot="1" x14ac:dyDescent="0.3">
      <c r="B427" s="183"/>
      <c r="C427" s="183"/>
      <c r="D427" s="184"/>
      <c r="E427" s="184"/>
      <c r="F427" s="185"/>
      <c r="G427" s="186"/>
      <c r="H427" s="185"/>
      <c r="I427" s="185"/>
      <c r="J427" s="187"/>
    </row>
    <row r="428" spans="2:10" ht="15.75" thickBot="1" x14ac:dyDescent="0.3">
      <c r="B428" s="577" t="s">
        <v>151</v>
      </c>
      <c r="C428" s="579"/>
      <c r="D428" s="583" t="s">
        <v>144</v>
      </c>
      <c r="E428" s="584"/>
      <c r="F428" s="584"/>
      <c r="G428" s="584"/>
      <c r="H428" s="584"/>
      <c r="I428" s="584"/>
      <c r="J428" s="585"/>
    </row>
    <row r="429" spans="2:10" ht="23.25" thickBot="1" x14ac:dyDescent="0.3">
      <c r="B429" s="649" t="s">
        <v>36</v>
      </c>
      <c r="C429" s="650"/>
      <c r="D429" s="651" t="s">
        <v>37</v>
      </c>
      <c r="E429" s="652"/>
      <c r="F429" s="48" t="s">
        <v>167</v>
      </c>
      <c r="G429" s="48" t="s">
        <v>156</v>
      </c>
      <c r="H429" s="48" t="s">
        <v>172</v>
      </c>
      <c r="I429" s="61" t="s">
        <v>183</v>
      </c>
      <c r="J429" s="49" t="s">
        <v>41</v>
      </c>
    </row>
    <row r="430" spans="2:10" ht="48" customHeight="1" x14ac:dyDescent="0.25">
      <c r="B430" s="653" t="s">
        <v>154</v>
      </c>
      <c r="C430" s="654"/>
      <c r="D430" s="830" t="s">
        <v>413</v>
      </c>
      <c r="E430" s="831"/>
      <c r="F430" s="76"/>
      <c r="G430" s="76"/>
      <c r="H430" s="76"/>
      <c r="I430" s="76"/>
      <c r="J430" s="77"/>
    </row>
    <row r="431" spans="2:10" x14ac:dyDescent="0.25">
      <c r="B431" s="657"/>
      <c r="C431" s="658"/>
      <c r="D431" s="704" t="s">
        <v>168</v>
      </c>
      <c r="E431" s="660"/>
      <c r="F431" s="23"/>
      <c r="G431" s="52"/>
      <c r="H431" s="23"/>
      <c r="I431" s="23"/>
      <c r="J431" s="25"/>
    </row>
    <row r="432" spans="2:10" ht="22.5" customHeight="1" x14ac:dyDescent="0.25">
      <c r="B432" s="54"/>
      <c r="C432" s="55"/>
      <c r="D432" s="326"/>
      <c r="E432" s="327" t="str">
        <f>E420</f>
        <v>Tovorno vozilo do 3,5 t sdm</v>
      </c>
      <c r="F432" s="23">
        <v>8</v>
      </c>
      <c r="G432" s="24">
        <f>G420</f>
        <v>33.81</v>
      </c>
      <c r="H432" s="23"/>
      <c r="I432" s="23"/>
      <c r="J432" s="25">
        <f>F432*G432</f>
        <v>270.48</v>
      </c>
    </row>
    <row r="433" spans="2:10" ht="22.5" customHeight="1" x14ac:dyDescent="0.25">
      <c r="B433" s="54"/>
      <c r="C433" s="55"/>
      <c r="D433" s="326"/>
      <c r="E433" s="359" t="str">
        <f>E421</f>
        <v>Delovodja, Skupinovodja, Preglednik, Dispečer, Voznik, Strojnik</v>
      </c>
      <c r="F433" s="23">
        <v>8</v>
      </c>
      <c r="G433" s="24">
        <f>G421</f>
        <v>21.02</v>
      </c>
      <c r="H433" s="23"/>
      <c r="I433" s="23"/>
      <c r="J433" s="25"/>
    </row>
    <row r="434" spans="2:10" x14ac:dyDescent="0.25">
      <c r="B434" s="58"/>
      <c r="C434" s="59"/>
      <c r="D434" s="688" t="s">
        <v>194</v>
      </c>
      <c r="E434" s="689"/>
      <c r="F434" s="27"/>
      <c r="G434" s="74"/>
      <c r="H434" s="27"/>
      <c r="I434" s="27"/>
      <c r="J434" s="25"/>
    </row>
    <row r="435" spans="2:10" x14ac:dyDescent="0.25">
      <c r="B435" s="58"/>
      <c r="C435" s="59"/>
      <c r="D435" s="322"/>
      <c r="E435" s="325" t="str">
        <f>E423</f>
        <v>Električni bencinski agregat</v>
      </c>
      <c r="F435" s="23">
        <v>5</v>
      </c>
      <c r="G435" s="74">
        <f>G423</f>
        <v>10.759583333333335</v>
      </c>
      <c r="H435" s="27"/>
      <c r="I435" s="27"/>
      <c r="J435" s="25">
        <f t="shared" ref="J435:J437" si="1">F435*G435</f>
        <v>53.79791666666668</v>
      </c>
    </row>
    <row r="436" spans="2:10" x14ac:dyDescent="0.25">
      <c r="B436" s="58"/>
      <c r="C436" s="59"/>
      <c r="D436" s="322"/>
      <c r="E436" s="325" t="str">
        <f>E424</f>
        <v>Električno udarno kladivo</v>
      </c>
      <c r="F436" s="23">
        <v>5</v>
      </c>
      <c r="G436" s="74">
        <f>G424</f>
        <v>11.025</v>
      </c>
      <c r="H436" s="27"/>
      <c r="I436" s="27"/>
      <c r="J436" s="25">
        <f t="shared" si="1"/>
        <v>55.125</v>
      </c>
    </row>
    <row r="437" spans="2:10" ht="24" thickBot="1" x14ac:dyDescent="0.3">
      <c r="B437" s="58"/>
      <c r="C437" s="59"/>
      <c r="D437" s="322"/>
      <c r="E437" s="325" t="str">
        <f>E425</f>
        <v>Najemnina za cestno prometne znake</v>
      </c>
      <c r="F437" s="23">
        <v>2</v>
      </c>
      <c r="G437" s="74">
        <f>G425</f>
        <v>2.2916666666666665</v>
      </c>
      <c r="H437" s="27"/>
      <c r="I437" s="27"/>
      <c r="J437" s="25">
        <f t="shared" si="1"/>
        <v>4.583333333333333</v>
      </c>
    </row>
    <row r="438" spans="2:10" ht="15.75" thickBot="1" x14ac:dyDescent="0.3">
      <c r="B438" s="663"/>
      <c r="C438" s="664"/>
      <c r="D438" s="665" t="s">
        <v>243</v>
      </c>
      <c r="E438" s="666"/>
      <c r="F438" s="22"/>
      <c r="G438" s="60"/>
      <c r="H438" s="22"/>
      <c r="I438" s="22">
        <v>1</v>
      </c>
      <c r="J438" s="50">
        <f>SUM(J432:J437)</f>
        <v>383.98624999999998</v>
      </c>
    </row>
    <row r="439" spans="2:10" ht="15.75" thickBot="1" x14ac:dyDescent="0.3">
      <c r="B439" s="183"/>
      <c r="C439" s="183"/>
      <c r="D439" s="184"/>
      <c r="E439" s="184"/>
      <c r="F439" s="185"/>
      <c r="G439" s="186"/>
      <c r="H439" s="185"/>
      <c r="I439" s="185"/>
      <c r="J439" s="187"/>
    </row>
    <row r="440" spans="2:10" ht="15.75" thickBot="1" x14ac:dyDescent="0.3">
      <c r="B440" s="577" t="s">
        <v>151</v>
      </c>
      <c r="C440" s="579"/>
      <c r="D440" s="583" t="s">
        <v>144</v>
      </c>
      <c r="E440" s="584"/>
      <c r="F440" s="584"/>
      <c r="G440" s="584"/>
      <c r="H440" s="584"/>
      <c r="I440" s="584"/>
      <c r="J440" s="585"/>
    </row>
    <row r="441" spans="2:10" ht="23.25" thickBot="1" x14ac:dyDescent="0.3">
      <c r="B441" s="649" t="s">
        <v>36</v>
      </c>
      <c r="C441" s="650"/>
      <c r="D441" s="651" t="s">
        <v>37</v>
      </c>
      <c r="E441" s="652"/>
      <c r="F441" s="48" t="s">
        <v>167</v>
      </c>
      <c r="G441" s="48" t="s">
        <v>156</v>
      </c>
      <c r="H441" s="48" t="s">
        <v>172</v>
      </c>
      <c r="I441" s="61" t="s">
        <v>183</v>
      </c>
      <c r="J441" s="49" t="s">
        <v>41</v>
      </c>
    </row>
    <row r="442" spans="2:10" ht="32.25" customHeight="1" x14ac:dyDescent="0.25">
      <c r="B442" s="653" t="s">
        <v>175</v>
      </c>
      <c r="C442" s="654"/>
      <c r="D442" s="830" t="s">
        <v>414</v>
      </c>
      <c r="E442" s="831"/>
      <c r="F442" s="76"/>
      <c r="G442" s="76"/>
      <c r="H442" s="76"/>
      <c r="I442" s="76"/>
      <c r="J442" s="77"/>
    </row>
    <row r="443" spans="2:10" x14ac:dyDescent="0.25">
      <c r="B443" s="657"/>
      <c r="C443" s="658"/>
      <c r="D443" s="704" t="s">
        <v>168</v>
      </c>
      <c r="E443" s="660"/>
      <c r="F443" s="23"/>
      <c r="G443" s="52"/>
      <c r="H443" s="23"/>
      <c r="I443" s="23"/>
      <c r="J443" s="25"/>
    </row>
    <row r="444" spans="2:10" x14ac:dyDescent="0.25">
      <c r="B444" s="54"/>
      <c r="C444" s="55"/>
      <c r="D444" s="326"/>
      <c r="E444" s="369" t="str">
        <f>CENIK_št_1!B40</f>
        <v xml:space="preserve">Komunalni delavec </v>
      </c>
      <c r="F444" s="23">
        <v>8</v>
      </c>
      <c r="G444" s="24">
        <f>CENIK_št_1!K40</f>
        <v>20.75</v>
      </c>
      <c r="H444" s="23"/>
      <c r="I444" s="23"/>
      <c r="J444" s="25">
        <f t="shared" ref="J444" si="2">F444*G444</f>
        <v>166</v>
      </c>
    </row>
    <row r="445" spans="2:10" ht="34.5" x14ac:dyDescent="0.25">
      <c r="B445" s="54"/>
      <c r="C445" s="55"/>
      <c r="D445" s="326"/>
      <c r="E445" s="359" t="str">
        <f>E433</f>
        <v>Delovodja, Skupinovodja, Preglednik, Dispečer, Voznik, Strojnik</v>
      </c>
      <c r="F445" s="23">
        <v>2</v>
      </c>
      <c r="G445" s="24">
        <f>G433</f>
        <v>21.02</v>
      </c>
      <c r="H445" s="23"/>
      <c r="I445" s="23"/>
      <c r="J445" s="25">
        <f>F445*G445</f>
        <v>42.04</v>
      </c>
    </row>
    <row r="446" spans="2:10" x14ac:dyDescent="0.25">
      <c r="B446" s="58"/>
      <c r="C446" s="59"/>
      <c r="D446" s="688" t="s">
        <v>194</v>
      </c>
      <c r="E446" s="689"/>
      <c r="F446" s="27"/>
      <c r="G446" s="74"/>
      <c r="H446" s="27"/>
      <c r="I446" s="27"/>
      <c r="J446" s="25"/>
    </row>
    <row r="447" spans="2:10" ht="23.25" x14ac:dyDescent="0.25">
      <c r="B447" s="58"/>
      <c r="C447" s="59"/>
      <c r="D447" s="322"/>
      <c r="E447" s="325" t="str">
        <f>E437</f>
        <v>Najemnina za cestno prometne znake</v>
      </c>
      <c r="F447" s="23">
        <v>2</v>
      </c>
      <c r="G447" s="74">
        <f>G437</f>
        <v>2.2916666666666665</v>
      </c>
      <c r="H447" s="27"/>
      <c r="I447" s="27"/>
      <c r="J447" s="25">
        <f>F447*G447</f>
        <v>4.583333333333333</v>
      </c>
    </row>
    <row r="448" spans="2:10" ht="15.75" thickBot="1" x14ac:dyDescent="0.3">
      <c r="B448" s="350"/>
      <c r="C448" s="351"/>
      <c r="D448" s="330"/>
      <c r="E448" s="331" t="str">
        <f>CENIK_št_1!B125</f>
        <v>Pihalnik listja</v>
      </c>
      <c r="F448" s="28">
        <v>2</v>
      </c>
      <c r="G448" s="382">
        <f>CENIK_št_1!K125</f>
        <v>9.6783749999999991</v>
      </c>
      <c r="H448" s="28"/>
      <c r="I448" s="28"/>
      <c r="J448" s="25">
        <f>F448*G448</f>
        <v>19.356749999999998</v>
      </c>
    </row>
    <row r="449" spans="2:10" ht="15.75" thickBot="1" x14ac:dyDescent="0.3">
      <c r="B449" s="663"/>
      <c r="C449" s="664"/>
      <c r="D449" s="665" t="s">
        <v>243</v>
      </c>
      <c r="E449" s="666"/>
      <c r="F449" s="22"/>
      <c r="G449" s="60"/>
      <c r="H449" s="22"/>
      <c r="I449" s="22">
        <v>1</v>
      </c>
      <c r="J449" s="50">
        <f>SUM(J444:J448)</f>
        <v>231.98008333333334</v>
      </c>
    </row>
    <row r="450" spans="2:10" ht="15.75" thickBot="1" x14ac:dyDescent="0.3">
      <c r="B450" s="183"/>
      <c r="C450" s="183"/>
      <c r="D450" s="184"/>
      <c r="E450" s="184"/>
      <c r="F450" s="185"/>
      <c r="G450" s="186"/>
      <c r="H450" s="185"/>
      <c r="I450" s="185"/>
      <c r="J450" s="187"/>
    </row>
    <row r="451" spans="2:10" ht="15.75" thickBot="1" x14ac:dyDescent="0.3">
      <c r="B451" s="577" t="s">
        <v>151</v>
      </c>
      <c r="C451" s="579"/>
      <c r="D451" s="583" t="s">
        <v>144</v>
      </c>
      <c r="E451" s="584"/>
      <c r="F451" s="584"/>
      <c r="G451" s="584"/>
      <c r="H451" s="584"/>
      <c r="I451" s="584"/>
      <c r="J451" s="585"/>
    </row>
    <row r="452" spans="2:10" ht="23.25" thickBot="1" x14ac:dyDescent="0.3">
      <c r="B452" s="649" t="s">
        <v>36</v>
      </c>
      <c r="C452" s="650"/>
      <c r="D452" s="651" t="s">
        <v>37</v>
      </c>
      <c r="E452" s="652"/>
      <c r="F452" s="48" t="s">
        <v>167</v>
      </c>
      <c r="G452" s="48" t="s">
        <v>156</v>
      </c>
      <c r="H452" s="48" t="s">
        <v>172</v>
      </c>
      <c r="I452" s="61" t="s">
        <v>183</v>
      </c>
      <c r="J452" s="49" t="s">
        <v>41</v>
      </c>
    </row>
    <row r="453" spans="2:10" ht="37.5" customHeight="1" x14ac:dyDescent="0.25">
      <c r="B453" s="653" t="s">
        <v>175</v>
      </c>
      <c r="C453" s="654"/>
      <c r="D453" s="830" t="s">
        <v>415</v>
      </c>
      <c r="E453" s="831"/>
      <c r="F453" s="76"/>
      <c r="G453" s="76"/>
      <c r="H453" s="76"/>
      <c r="I453" s="76"/>
      <c r="J453" s="77"/>
    </row>
    <row r="454" spans="2:10" x14ac:dyDescent="0.25">
      <c r="B454" s="657"/>
      <c r="C454" s="658"/>
      <c r="D454" s="704" t="s">
        <v>168</v>
      </c>
      <c r="E454" s="660"/>
      <c r="F454" s="23"/>
      <c r="G454" s="52"/>
      <c r="H454" s="23"/>
      <c r="I454" s="23"/>
      <c r="J454" s="25"/>
    </row>
    <row r="455" spans="2:10" x14ac:dyDescent="0.25">
      <c r="B455" s="54"/>
      <c r="C455" s="55"/>
      <c r="D455" s="326"/>
      <c r="E455" s="327" t="str">
        <f>CENIK_št_1!B63</f>
        <v>Tovorno vozilo do 3,5 t sdm</v>
      </c>
      <c r="F455" s="23">
        <v>8</v>
      </c>
      <c r="G455" s="24">
        <f>CENIK_št_1!K63</f>
        <v>33.81</v>
      </c>
      <c r="H455" s="23"/>
      <c r="I455" s="23"/>
      <c r="J455" s="25">
        <f>F455*G455</f>
        <v>270.48</v>
      </c>
    </row>
    <row r="456" spans="2:10" x14ac:dyDescent="0.25">
      <c r="B456" s="54"/>
      <c r="C456" s="55"/>
      <c r="D456" s="326"/>
      <c r="E456" s="369" t="str">
        <f>CENIK_št_1!B40</f>
        <v xml:space="preserve">Komunalni delavec </v>
      </c>
      <c r="F456" s="23">
        <v>8</v>
      </c>
      <c r="G456" s="24">
        <f>CENIK_št_1!K40</f>
        <v>20.75</v>
      </c>
      <c r="H456" s="23"/>
      <c r="I456" s="23"/>
      <c r="J456" s="25">
        <f t="shared" ref="J456:J457" si="3">F456*G456</f>
        <v>166</v>
      </c>
    </row>
    <row r="457" spans="2:10" ht="23.25" customHeight="1" x14ac:dyDescent="0.25">
      <c r="B457" s="54"/>
      <c r="C457" s="55"/>
      <c r="D457" s="839" t="str">
        <f>CENIK_št_1!B41</f>
        <v>Delovodja, Skupinovodja, Preglednik, Dispečer, Voznik, Strojnik</v>
      </c>
      <c r="E457" s="840"/>
      <c r="F457" s="23">
        <v>2</v>
      </c>
      <c r="G457" s="24">
        <f>CENIK_št_1!K41</f>
        <v>21.02</v>
      </c>
      <c r="H457" s="23"/>
      <c r="I457" s="23"/>
      <c r="J457" s="25">
        <f t="shared" si="3"/>
        <v>42.04</v>
      </c>
    </row>
    <row r="458" spans="2:10" x14ac:dyDescent="0.25">
      <c r="B458" s="58"/>
      <c r="C458" s="59"/>
      <c r="D458" s="688" t="s">
        <v>194</v>
      </c>
      <c r="E458" s="689"/>
      <c r="F458" s="27"/>
      <c r="G458" s="74"/>
      <c r="H458" s="27"/>
      <c r="I458" s="27"/>
      <c r="J458" s="25"/>
    </row>
    <row r="459" spans="2:10" ht="23.25" x14ac:dyDescent="0.25">
      <c r="B459" s="58"/>
      <c r="C459" s="59"/>
      <c r="D459" s="322"/>
      <c r="E459" s="325" t="str">
        <f>CENIK_št_1!B153</f>
        <v>Najemnina za cestno prometne znake</v>
      </c>
      <c r="F459" s="23">
        <v>2</v>
      </c>
      <c r="G459" s="74">
        <f>CENIK_št_1!K153</f>
        <v>2.2916666666666665</v>
      </c>
      <c r="H459" s="27"/>
      <c r="I459" s="27"/>
      <c r="J459" s="25">
        <f>F459*G459</f>
        <v>4.583333333333333</v>
      </c>
    </row>
    <row r="460" spans="2:10" ht="15.75" thickBot="1" x14ac:dyDescent="0.3">
      <c r="B460" s="350"/>
      <c r="C460" s="351"/>
      <c r="D460" s="330"/>
      <c r="E460" s="331" t="str">
        <f>CENIK_št_1!B125</f>
        <v>Pihalnik listja</v>
      </c>
      <c r="F460" s="28">
        <v>2</v>
      </c>
      <c r="G460" s="382">
        <f>CENIK_št_1!K125</f>
        <v>9.6783749999999991</v>
      </c>
      <c r="H460" s="28"/>
      <c r="I460" s="28"/>
      <c r="J460" s="355">
        <f>F460*G460</f>
        <v>19.356749999999998</v>
      </c>
    </row>
    <row r="461" spans="2:10" ht="15.75" thickBot="1" x14ac:dyDescent="0.3">
      <c r="B461" s="663"/>
      <c r="C461" s="664"/>
      <c r="D461" s="665" t="s">
        <v>243</v>
      </c>
      <c r="E461" s="666"/>
      <c r="F461" s="22"/>
      <c r="G461" s="60"/>
      <c r="H461" s="22"/>
      <c r="I461" s="22">
        <v>1</v>
      </c>
      <c r="J461" s="50">
        <f>SUM(J455:J460)</f>
        <v>502.46008333333333</v>
      </c>
    </row>
    <row r="462" spans="2:10" ht="15.75" thickBot="1" x14ac:dyDescent="0.3">
      <c r="B462" s="183"/>
      <c r="C462" s="183"/>
      <c r="D462" s="184"/>
      <c r="E462" s="184"/>
      <c r="F462" s="185"/>
      <c r="G462" s="186"/>
      <c r="H462" s="185"/>
      <c r="I462" s="185"/>
      <c r="J462" s="187"/>
    </row>
    <row r="463" spans="2:10" ht="15.75" thickBot="1" x14ac:dyDescent="0.3">
      <c r="B463" s="577" t="s">
        <v>151</v>
      </c>
      <c r="C463" s="579"/>
      <c r="D463" s="583" t="s">
        <v>144</v>
      </c>
      <c r="E463" s="584"/>
      <c r="F463" s="584"/>
      <c r="G463" s="584"/>
      <c r="H463" s="584"/>
      <c r="I463" s="584"/>
      <c r="J463" s="585"/>
    </row>
    <row r="464" spans="2:10" ht="23.25" thickBot="1" x14ac:dyDescent="0.3">
      <c r="B464" s="649" t="s">
        <v>36</v>
      </c>
      <c r="C464" s="650"/>
      <c r="D464" s="651" t="s">
        <v>37</v>
      </c>
      <c r="E464" s="652"/>
      <c r="F464" s="48" t="s">
        <v>167</v>
      </c>
      <c r="G464" s="48" t="s">
        <v>156</v>
      </c>
      <c r="H464" s="48" t="s">
        <v>172</v>
      </c>
      <c r="I464" s="61" t="s">
        <v>183</v>
      </c>
      <c r="J464" s="49" t="s">
        <v>41</v>
      </c>
    </row>
    <row r="465" spans="2:10" ht="21" customHeight="1" x14ac:dyDescent="0.25">
      <c r="B465" s="653" t="s">
        <v>177</v>
      </c>
      <c r="C465" s="654"/>
      <c r="D465" s="830" t="s">
        <v>474</v>
      </c>
      <c r="E465" s="831"/>
      <c r="F465" s="76"/>
      <c r="G465" s="76"/>
      <c r="H465" s="76"/>
      <c r="I465" s="76"/>
      <c r="J465" s="77"/>
    </row>
    <row r="466" spans="2:10" x14ac:dyDescent="0.25">
      <c r="B466" s="657"/>
      <c r="C466" s="658"/>
      <c r="D466" s="704" t="s">
        <v>168</v>
      </c>
      <c r="E466" s="660"/>
      <c r="F466" s="23"/>
      <c r="G466" s="52"/>
      <c r="H466" s="23"/>
      <c r="I466" s="23"/>
      <c r="J466" s="25"/>
    </row>
    <row r="467" spans="2:10" ht="24" customHeight="1" x14ac:dyDescent="0.25">
      <c r="B467" s="54"/>
      <c r="C467" s="55"/>
      <c r="D467" s="688" t="str">
        <f>CENIK_št_1!B72</f>
        <v>Tovorno vozilo do 15 t sdm z nadgradnjo za črpanje greznic</v>
      </c>
      <c r="E467" s="689"/>
      <c r="F467" s="23">
        <v>2.2000000000000002</v>
      </c>
      <c r="G467" s="24">
        <f>CENIK_št_1!K72</f>
        <v>55.92</v>
      </c>
      <c r="H467" s="23"/>
      <c r="I467" s="23"/>
      <c r="J467" s="25">
        <f>F467*G467</f>
        <v>123.02400000000002</v>
      </c>
    </row>
    <row r="468" spans="2:10" ht="15.75" thickBot="1" x14ac:dyDescent="0.3">
      <c r="B468" s="54"/>
      <c r="C468" s="55"/>
      <c r="D468" s="326"/>
      <c r="E468" s="359" t="s">
        <v>331</v>
      </c>
      <c r="F468" s="23">
        <v>2.8</v>
      </c>
      <c r="G468" s="24">
        <f>CENIK_št_1!K40</f>
        <v>20.75</v>
      </c>
      <c r="H468" s="23"/>
      <c r="I468" s="23"/>
      <c r="J468" s="25">
        <f>F468*G468</f>
        <v>58.099999999999994</v>
      </c>
    </row>
    <row r="469" spans="2:10" ht="15.75" thickBot="1" x14ac:dyDescent="0.3">
      <c r="B469" s="663"/>
      <c r="C469" s="664"/>
      <c r="D469" s="665" t="s">
        <v>243</v>
      </c>
      <c r="E469" s="666"/>
      <c r="F469" s="22"/>
      <c r="G469" s="60"/>
      <c r="H469" s="22"/>
      <c r="I469" s="22">
        <v>1</v>
      </c>
      <c r="J469" s="50">
        <f>SUM(J467:J468)</f>
        <v>181.12400000000002</v>
      </c>
    </row>
    <row r="470" spans="2:10" ht="15.75" thickBot="1" x14ac:dyDescent="0.3">
      <c r="B470" s="183"/>
      <c r="C470" s="183"/>
      <c r="D470" s="184"/>
      <c r="E470" s="184"/>
      <c r="F470" s="185"/>
      <c r="G470" s="186"/>
      <c r="H470" s="185"/>
      <c r="I470" s="185"/>
      <c r="J470" s="187"/>
    </row>
    <row r="471" spans="2:10" ht="15.75" thickBot="1" x14ac:dyDescent="0.3">
      <c r="B471" s="577" t="s">
        <v>151</v>
      </c>
      <c r="C471" s="579"/>
      <c r="D471" s="583" t="s">
        <v>144</v>
      </c>
      <c r="E471" s="584"/>
      <c r="F471" s="584"/>
      <c r="G471" s="584"/>
      <c r="H471" s="584"/>
      <c r="I471" s="584"/>
      <c r="J471" s="585"/>
    </row>
    <row r="472" spans="2:10" ht="23.25" thickBot="1" x14ac:dyDescent="0.3">
      <c r="B472" s="649" t="s">
        <v>36</v>
      </c>
      <c r="C472" s="650"/>
      <c r="D472" s="651" t="s">
        <v>37</v>
      </c>
      <c r="E472" s="652"/>
      <c r="F472" s="48" t="s">
        <v>167</v>
      </c>
      <c r="G472" s="48" t="s">
        <v>156</v>
      </c>
      <c r="H472" s="48" t="s">
        <v>172</v>
      </c>
      <c r="I472" s="61" t="s">
        <v>183</v>
      </c>
      <c r="J472" s="49" t="s">
        <v>41</v>
      </c>
    </row>
    <row r="473" spans="2:10" ht="24" customHeight="1" x14ac:dyDescent="0.25">
      <c r="B473" s="653" t="s">
        <v>475</v>
      </c>
      <c r="C473" s="654"/>
      <c r="D473" s="830" t="s">
        <v>476</v>
      </c>
      <c r="E473" s="831"/>
      <c r="F473" s="76"/>
      <c r="G473" s="76"/>
      <c r="H473" s="76"/>
      <c r="I473" s="76"/>
      <c r="J473" s="77"/>
    </row>
    <row r="474" spans="2:10" ht="15" customHeight="1" x14ac:dyDescent="0.25">
      <c r="B474" s="657"/>
      <c r="C474" s="658"/>
      <c r="D474" s="704" t="s">
        <v>168</v>
      </c>
      <c r="E474" s="660"/>
      <c r="F474" s="23"/>
      <c r="G474" s="52"/>
      <c r="H474" s="23"/>
      <c r="I474" s="23"/>
      <c r="J474" s="25"/>
    </row>
    <row r="475" spans="2:10" x14ac:dyDescent="0.25">
      <c r="B475" s="54"/>
      <c r="C475" s="55"/>
      <c r="D475" s="326"/>
      <c r="E475" s="327" t="s">
        <v>477</v>
      </c>
      <c r="F475" s="23">
        <v>16</v>
      </c>
      <c r="G475" s="24">
        <f>CENIK_št_1!K40</f>
        <v>20.75</v>
      </c>
      <c r="H475" s="23"/>
      <c r="I475" s="23"/>
      <c r="J475" s="25">
        <f>F475*G475</f>
        <v>332</v>
      </c>
    </row>
    <row r="476" spans="2:10" ht="15.75" thickBot="1" x14ac:dyDescent="0.3">
      <c r="B476" s="54"/>
      <c r="C476" s="55"/>
      <c r="D476" s="326"/>
      <c r="E476" s="359" t="s">
        <v>478</v>
      </c>
      <c r="F476" s="23">
        <v>8</v>
      </c>
      <c r="G476" s="24">
        <f>CENIK_št_1!K63</f>
        <v>33.81</v>
      </c>
      <c r="H476" s="23"/>
      <c r="I476" s="23"/>
      <c r="J476" s="25">
        <f>F476*G476</f>
        <v>270.48</v>
      </c>
    </row>
    <row r="477" spans="2:10" ht="15.75" thickBot="1" x14ac:dyDescent="0.3">
      <c r="B477" s="663"/>
      <c r="C477" s="664"/>
      <c r="D477" s="665" t="s">
        <v>243</v>
      </c>
      <c r="E477" s="666"/>
      <c r="F477" s="22"/>
      <c r="G477" s="60"/>
      <c r="H477" s="22"/>
      <c r="I477" s="22">
        <v>1</v>
      </c>
      <c r="J477" s="50">
        <f>SUM(J475:J476)</f>
        <v>602.48</v>
      </c>
    </row>
    <row r="478" spans="2:10" ht="15.75" thickBot="1" x14ac:dyDescent="0.3"/>
    <row r="479" spans="2:10" ht="15.75" thickBot="1" x14ac:dyDescent="0.3">
      <c r="B479" s="577" t="s">
        <v>151</v>
      </c>
      <c r="C479" s="579"/>
      <c r="D479" s="583" t="s">
        <v>144</v>
      </c>
      <c r="E479" s="584"/>
      <c r="F479" s="584"/>
      <c r="G479" s="584"/>
      <c r="H479" s="584"/>
      <c r="I479" s="584"/>
      <c r="J479" s="585"/>
    </row>
    <row r="480" spans="2:10" ht="23.25" thickBot="1" x14ac:dyDescent="0.3">
      <c r="B480" s="649" t="s">
        <v>36</v>
      </c>
      <c r="C480" s="650"/>
      <c r="D480" s="651" t="s">
        <v>37</v>
      </c>
      <c r="E480" s="652"/>
      <c r="F480" s="48" t="s">
        <v>167</v>
      </c>
      <c r="G480" s="48" t="s">
        <v>156</v>
      </c>
      <c r="H480" s="48" t="s">
        <v>172</v>
      </c>
      <c r="I480" s="61" t="s">
        <v>183</v>
      </c>
      <c r="J480" s="49" t="s">
        <v>41</v>
      </c>
    </row>
    <row r="481" spans="2:10" ht="26.25" customHeight="1" x14ac:dyDescent="0.25">
      <c r="B481" s="653" t="s">
        <v>479</v>
      </c>
      <c r="C481" s="654"/>
      <c r="D481" s="832" t="s">
        <v>481</v>
      </c>
      <c r="E481" s="833"/>
      <c r="F481" s="76"/>
      <c r="G481" s="76"/>
      <c r="H481" s="76"/>
      <c r="I481" s="76"/>
      <c r="J481" s="77"/>
    </row>
    <row r="482" spans="2:10" ht="15" customHeight="1" x14ac:dyDescent="0.25">
      <c r="B482" s="657"/>
      <c r="C482" s="658"/>
      <c r="D482" s="704" t="s">
        <v>168</v>
      </c>
      <c r="E482" s="660"/>
      <c r="F482" s="23"/>
      <c r="G482" s="52"/>
      <c r="H482" s="23"/>
      <c r="I482" s="23"/>
      <c r="J482" s="25"/>
    </row>
    <row r="483" spans="2:10" x14ac:dyDescent="0.25">
      <c r="B483" s="54"/>
      <c r="C483" s="55"/>
      <c r="D483" s="326"/>
      <c r="E483" s="327" t="str">
        <f>CENIK_št_1!B70</f>
        <v>Tovorno vozilo kanaljet</v>
      </c>
      <c r="F483" s="23">
        <v>375</v>
      </c>
      <c r="G483" s="24">
        <f>CENIK_št_1!K70</f>
        <v>96.6</v>
      </c>
      <c r="H483" s="23"/>
      <c r="I483" s="23"/>
      <c r="J483" s="25">
        <f>F483*G483</f>
        <v>36225</v>
      </c>
    </row>
    <row r="484" spans="2:10" ht="15" customHeight="1" thickBot="1" x14ac:dyDescent="0.3">
      <c r="B484" s="54"/>
      <c r="C484" s="55"/>
      <c r="D484" s="834" t="str">
        <f>CENIK_št_1!B40</f>
        <v xml:space="preserve">Komunalni delavec </v>
      </c>
      <c r="E484" s="711"/>
      <c r="F484" s="23">
        <v>375</v>
      </c>
      <c r="G484" s="24">
        <f>CENIK_št_1!K40</f>
        <v>20.75</v>
      </c>
      <c r="H484" s="23"/>
      <c r="I484" s="23"/>
      <c r="J484" s="25">
        <f>F484*G484</f>
        <v>7781.25</v>
      </c>
    </row>
    <row r="485" spans="2:10" ht="15" customHeight="1" thickBot="1" x14ac:dyDescent="0.3">
      <c r="B485" s="663"/>
      <c r="C485" s="664"/>
      <c r="D485" s="665" t="s">
        <v>243</v>
      </c>
      <c r="E485" s="666"/>
      <c r="F485" s="22">
        <v>1425</v>
      </c>
      <c r="G485" s="60"/>
      <c r="H485" s="22"/>
      <c r="I485" s="22">
        <v>1</v>
      </c>
      <c r="J485" s="50">
        <f>SUM(J483:J484)/F485</f>
        <v>30.881578947368421</v>
      </c>
    </row>
    <row r="486" spans="2:10" ht="15" customHeight="1" thickBot="1" x14ac:dyDescent="0.3"/>
    <row r="487" spans="2:10" ht="15" customHeight="1" thickBot="1" x14ac:dyDescent="0.3">
      <c r="B487" s="577" t="s">
        <v>151</v>
      </c>
      <c r="C487" s="579"/>
      <c r="D487" s="583" t="s">
        <v>144</v>
      </c>
      <c r="E487" s="584"/>
      <c r="F487" s="584"/>
      <c r="G487" s="584"/>
      <c r="H487" s="584"/>
      <c r="I487" s="584"/>
      <c r="J487" s="585"/>
    </row>
    <row r="488" spans="2:10" ht="15" customHeight="1" thickBot="1" x14ac:dyDescent="0.3">
      <c r="B488" s="649" t="s">
        <v>36</v>
      </c>
      <c r="C488" s="650"/>
      <c r="D488" s="651" t="s">
        <v>37</v>
      </c>
      <c r="E488" s="652"/>
      <c r="F488" s="48" t="s">
        <v>167</v>
      </c>
      <c r="G488" s="48" t="s">
        <v>156</v>
      </c>
      <c r="H488" s="48" t="s">
        <v>172</v>
      </c>
      <c r="I488" s="61" t="s">
        <v>183</v>
      </c>
      <c r="J488" s="49" t="s">
        <v>41</v>
      </c>
    </row>
    <row r="489" spans="2:10" ht="38.25" customHeight="1" x14ac:dyDescent="0.25">
      <c r="B489" s="653" t="s">
        <v>480</v>
      </c>
      <c r="C489" s="654"/>
      <c r="D489" s="830" t="s">
        <v>482</v>
      </c>
      <c r="E489" s="831"/>
      <c r="F489" s="76"/>
      <c r="G489" s="76"/>
      <c r="H489" s="76"/>
      <c r="I489" s="76"/>
      <c r="J489" s="77"/>
    </row>
    <row r="490" spans="2:10" x14ac:dyDescent="0.25">
      <c r="B490" s="657"/>
      <c r="C490" s="658"/>
      <c r="D490" s="704" t="s">
        <v>168</v>
      </c>
      <c r="E490" s="660"/>
      <c r="F490" s="23"/>
      <c r="G490" s="52"/>
      <c r="H490" s="23"/>
      <c r="I490" s="23"/>
      <c r="J490" s="25"/>
    </row>
    <row r="491" spans="2:10" ht="15" customHeight="1" x14ac:dyDescent="0.25">
      <c r="B491" s="54"/>
      <c r="C491" s="55"/>
      <c r="D491" s="326"/>
      <c r="E491" s="369" t="str">
        <f>CENIK_št_1!B40</f>
        <v xml:space="preserve">Komunalni delavec </v>
      </c>
      <c r="F491" s="23">
        <v>16</v>
      </c>
      <c r="G491" s="24">
        <f>CENIK_št_1!K40</f>
        <v>20.75</v>
      </c>
      <c r="H491" s="23"/>
      <c r="I491" s="23"/>
      <c r="J491" s="25">
        <f>F491*G491</f>
        <v>332</v>
      </c>
    </row>
    <row r="492" spans="2:10" ht="15" customHeight="1" thickBot="1" x14ac:dyDescent="0.3">
      <c r="B492" s="54"/>
      <c r="C492" s="55"/>
      <c r="D492" s="419"/>
      <c r="E492" s="418" t="str">
        <f>CENIK_št_1!B63</f>
        <v>Tovorno vozilo do 3,5 t sdm</v>
      </c>
      <c r="F492" s="23">
        <v>8</v>
      </c>
      <c r="G492" s="24">
        <f>CENIK_št_1!K63</f>
        <v>33.81</v>
      </c>
      <c r="H492" s="23"/>
      <c r="I492" s="23"/>
      <c r="J492" s="25">
        <f>F492*G492</f>
        <v>270.48</v>
      </c>
    </row>
    <row r="493" spans="2:10" ht="15" customHeight="1" thickBot="1" x14ac:dyDescent="0.3">
      <c r="B493" s="663"/>
      <c r="C493" s="664"/>
      <c r="D493" s="665" t="s">
        <v>243</v>
      </c>
      <c r="E493" s="666"/>
      <c r="F493" s="22"/>
      <c r="G493" s="60"/>
      <c r="H493" s="22"/>
      <c r="I493" s="22">
        <v>1</v>
      </c>
      <c r="J493" s="50">
        <f>SUM(J491:J492)</f>
        <v>602.48</v>
      </c>
    </row>
    <row r="494" spans="2:10" ht="15.75" customHeight="1" x14ac:dyDescent="0.25"/>
  </sheetData>
  <sheetProtection selectLockedCells="1" selectUnlockedCells="1"/>
  <mergeCells count="567">
    <mergeCell ref="K4:K48"/>
    <mergeCell ref="D240:J240"/>
    <mergeCell ref="B241:C241"/>
    <mergeCell ref="D241:E241"/>
    <mergeCell ref="B242:C242"/>
    <mergeCell ref="D242:E242"/>
    <mergeCell ref="B243:C243"/>
    <mergeCell ref="B438:C438"/>
    <mergeCell ref="D438:E438"/>
    <mergeCell ref="B405:C405"/>
    <mergeCell ref="D405:J405"/>
    <mergeCell ref="B406:C406"/>
    <mergeCell ref="D406:E406"/>
    <mergeCell ref="B407:C407"/>
    <mergeCell ref="D407:E407"/>
    <mergeCell ref="D297:E297"/>
    <mergeCell ref="B298:C298"/>
    <mergeCell ref="D298:E298"/>
    <mergeCell ref="B225:C225"/>
    <mergeCell ref="D19:J19"/>
    <mergeCell ref="B20:C20"/>
    <mergeCell ref="D20:E20"/>
    <mergeCell ref="B21:C21"/>
    <mergeCell ref="D58:E58"/>
    <mergeCell ref="B2:J2"/>
    <mergeCell ref="B339:C339"/>
    <mergeCell ref="D339:J339"/>
    <mergeCell ref="B340:C340"/>
    <mergeCell ref="D340:E340"/>
    <mergeCell ref="B341:C341"/>
    <mergeCell ref="D341:E341"/>
    <mergeCell ref="B342:C342"/>
    <mergeCell ref="D342:E342"/>
    <mergeCell ref="D299:E299"/>
    <mergeCell ref="D217:E217"/>
    <mergeCell ref="D218:E218"/>
    <mergeCell ref="D220:E220"/>
    <mergeCell ref="D221:E221"/>
    <mergeCell ref="D300:E300"/>
    <mergeCell ref="D301:E301"/>
    <mergeCell ref="D302:E302"/>
    <mergeCell ref="B304:C304"/>
    <mergeCell ref="D304:E304"/>
    <mergeCell ref="B295:C295"/>
    <mergeCell ref="D295:J295"/>
    <mergeCell ref="B296:C296"/>
    <mergeCell ref="D296:E296"/>
    <mergeCell ref="B297:C297"/>
    <mergeCell ref="B152:C152"/>
    <mergeCell ref="D152:E152"/>
    <mergeCell ref="B153:C153"/>
    <mergeCell ref="D153:E153"/>
    <mergeCell ref="D155:E155"/>
    <mergeCell ref="D10:E10"/>
    <mergeCell ref="D4:J4"/>
    <mergeCell ref="B4:C4"/>
    <mergeCell ref="B5:C5"/>
    <mergeCell ref="D5:E5"/>
    <mergeCell ref="B6:C6"/>
    <mergeCell ref="D6:E6"/>
    <mergeCell ref="B7:C7"/>
    <mergeCell ref="D7:E7"/>
    <mergeCell ref="B9:C9"/>
    <mergeCell ref="D9:E9"/>
    <mergeCell ref="D8:E8"/>
    <mergeCell ref="B12:C12"/>
    <mergeCell ref="D12:E12"/>
    <mergeCell ref="B16:C16"/>
    <mergeCell ref="D16:E16"/>
    <mergeCell ref="B17:C17"/>
    <mergeCell ref="D17:E17"/>
    <mergeCell ref="B19:C19"/>
    <mergeCell ref="B150:C150"/>
    <mergeCell ref="D150:J150"/>
    <mergeCell ref="B151:C151"/>
    <mergeCell ref="D151:E151"/>
    <mergeCell ref="D138:E138"/>
    <mergeCell ref="D139:E139"/>
    <mergeCell ref="D140:E140"/>
    <mergeCell ref="B141:C141"/>
    <mergeCell ref="D141:E141"/>
    <mergeCell ref="D142:E142"/>
    <mergeCell ref="D143:E143"/>
    <mergeCell ref="D144:E144"/>
    <mergeCell ref="B145:C145"/>
    <mergeCell ref="D145:E145"/>
    <mergeCell ref="B119:C119"/>
    <mergeCell ref="D119:J119"/>
    <mergeCell ref="B120:C120"/>
    <mergeCell ref="D120:E120"/>
    <mergeCell ref="B98:C98"/>
    <mergeCell ref="D98:E98"/>
    <mergeCell ref="B99:C99"/>
    <mergeCell ref="D99:E99"/>
    <mergeCell ref="D101:E101"/>
    <mergeCell ref="B104:C104"/>
    <mergeCell ref="D104:E104"/>
    <mergeCell ref="B102:C102"/>
    <mergeCell ref="D102:E102"/>
    <mergeCell ref="D103:E103"/>
    <mergeCell ref="B106:C106"/>
    <mergeCell ref="D106:J106"/>
    <mergeCell ref="B107:C107"/>
    <mergeCell ref="D107:E107"/>
    <mergeCell ref="D100:E100"/>
    <mergeCell ref="B108:C108"/>
    <mergeCell ref="D108:E108"/>
    <mergeCell ref="B109:C109"/>
    <mergeCell ref="D109:E109"/>
    <mergeCell ref="D111:E111"/>
    <mergeCell ref="D358:E358"/>
    <mergeCell ref="D359:E359"/>
    <mergeCell ref="B361:C361"/>
    <mergeCell ref="D156:E156"/>
    <mergeCell ref="D157:E157"/>
    <mergeCell ref="B160:C160"/>
    <mergeCell ref="D160:E160"/>
    <mergeCell ref="B175:C175"/>
    <mergeCell ref="D175:E175"/>
    <mergeCell ref="D174:E174"/>
    <mergeCell ref="B168:C168"/>
    <mergeCell ref="D168:E168"/>
    <mergeCell ref="D169:E169"/>
    <mergeCell ref="D171:E171"/>
    <mergeCell ref="B158:C158"/>
    <mergeCell ref="D158:E158"/>
    <mergeCell ref="D159:E159"/>
    <mergeCell ref="B167:C167"/>
    <mergeCell ref="D167:E167"/>
    <mergeCell ref="B165:C165"/>
    <mergeCell ref="D165:J165"/>
    <mergeCell ref="B166:C166"/>
    <mergeCell ref="D166:E166"/>
    <mergeCell ref="B188:C188"/>
    <mergeCell ref="B28:C28"/>
    <mergeCell ref="D28:E28"/>
    <mergeCell ref="B428:C428"/>
    <mergeCell ref="D411:E411"/>
    <mergeCell ref="B418:C418"/>
    <mergeCell ref="B419:C419"/>
    <mergeCell ref="D419:E419"/>
    <mergeCell ref="B414:C414"/>
    <mergeCell ref="D414:E414"/>
    <mergeCell ref="D412:E412"/>
    <mergeCell ref="D422:E422"/>
    <mergeCell ref="B416:C416"/>
    <mergeCell ref="D416:J416"/>
    <mergeCell ref="B417:C417"/>
    <mergeCell ref="D417:E417"/>
    <mergeCell ref="D418:E418"/>
    <mergeCell ref="B408:C408"/>
    <mergeCell ref="D408:E408"/>
    <mergeCell ref="D344:E344"/>
    <mergeCell ref="D345:E345"/>
    <mergeCell ref="D347:E347"/>
    <mergeCell ref="B349:C349"/>
    <mergeCell ref="D349:E349"/>
    <mergeCell ref="D346:E346"/>
    <mergeCell ref="D24:E24"/>
    <mergeCell ref="D25:E25"/>
    <mergeCell ref="D21:E21"/>
    <mergeCell ref="B22:C22"/>
    <mergeCell ref="D22:E22"/>
    <mergeCell ref="D23:E23"/>
    <mergeCell ref="B26:C26"/>
    <mergeCell ref="D26:E26"/>
    <mergeCell ref="D27:E27"/>
    <mergeCell ref="D38:E38"/>
    <mergeCell ref="D39:E39"/>
    <mergeCell ref="B40:C40"/>
    <mergeCell ref="D40:E40"/>
    <mergeCell ref="D41:E41"/>
    <mergeCell ref="B42:C42"/>
    <mergeCell ref="D42:E42"/>
    <mergeCell ref="B30:C30"/>
    <mergeCell ref="D30:E30"/>
    <mergeCell ref="B31:C31"/>
    <mergeCell ref="D31:E31"/>
    <mergeCell ref="B33:C33"/>
    <mergeCell ref="D33:J33"/>
    <mergeCell ref="B34:C34"/>
    <mergeCell ref="D34:E34"/>
    <mergeCell ref="B35:C35"/>
    <mergeCell ref="D35:E35"/>
    <mergeCell ref="B36:C36"/>
    <mergeCell ref="D36:E36"/>
    <mergeCell ref="D37:E37"/>
    <mergeCell ref="B44:C44"/>
    <mergeCell ref="D44:E44"/>
    <mergeCell ref="B45:C45"/>
    <mergeCell ref="D45:E45"/>
    <mergeCell ref="D54:E54"/>
    <mergeCell ref="D55:E55"/>
    <mergeCell ref="B62:C62"/>
    <mergeCell ref="D62:J62"/>
    <mergeCell ref="D50:J50"/>
    <mergeCell ref="B60:C60"/>
    <mergeCell ref="D60:E60"/>
    <mergeCell ref="B50:C50"/>
    <mergeCell ref="B51:C51"/>
    <mergeCell ref="D51:E51"/>
    <mergeCell ref="B52:C52"/>
    <mergeCell ref="D52:E52"/>
    <mergeCell ref="B53:C53"/>
    <mergeCell ref="D53:E53"/>
    <mergeCell ref="B57:C57"/>
    <mergeCell ref="D57:E57"/>
    <mergeCell ref="B63:C63"/>
    <mergeCell ref="D63:E63"/>
    <mergeCell ref="B64:C64"/>
    <mergeCell ref="D64:E64"/>
    <mergeCell ref="B65:C65"/>
    <mergeCell ref="D65:E65"/>
    <mergeCell ref="D66:E66"/>
    <mergeCell ref="D67:E67"/>
    <mergeCell ref="B69:C69"/>
    <mergeCell ref="D69:E69"/>
    <mergeCell ref="D70:E70"/>
    <mergeCell ref="B73:C73"/>
    <mergeCell ref="D73:E73"/>
    <mergeCell ref="D68:E68"/>
    <mergeCell ref="D72:E72"/>
    <mergeCell ref="D71:E71"/>
    <mergeCell ref="B75:C75"/>
    <mergeCell ref="D75:J75"/>
    <mergeCell ref="B76:C76"/>
    <mergeCell ref="D76:E76"/>
    <mergeCell ref="B77:C77"/>
    <mergeCell ref="D77:E77"/>
    <mergeCell ref="B78:C78"/>
    <mergeCell ref="D78:E78"/>
    <mergeCell ref="D79:E79"/>
    <mergeCell ref="D80:E80"/>
    <mergeCell ref="D81:E81"/>
    <mergeCell ref="B82:C82"/>
    <mergeCell ref="D82:E82"/>
    <mergeCell ref="D83:E83"/>
    <mergeCell ref="D84:E84"/>
    <mergeCell ref="D85:E85"/>
    <mergeCell ref="B86:C86"/>
    <mergeCell ref="D86:E86"/>
    <mergeCell ref="B96:C96"/>
    <mergeCell ref="D96:J96"/>
    <mergeCell ref="B97:C97"/>
    <mergeCell ref="D97:E97"/>
    <mergeCell ref="B94:C94"/>
    <mergeCell ref="D94:E94"/>
    <mergeCell ref="B92:C92"/>
    <mergeCell ref="D92:E92"/>
    <mergeCell ref="D93:E93"/>
    <mergeCell ref="B89:C89"/>
    <mergeCell ref="D89:J89"/>
    <mergeCell ref="B90:C90"/>
    <mergeCell ref="D90:E90"/>
    <mergeCell ref="B91:C91"/>
    <mergeCell ref="D91:E91"/>
    <mergeCell ref="B135:C135"/>
    <mergeCell ref="D135:E135"/>
    <mergeCell ref="B136:C136"/>
    <mergeCell ref="D136:E136"/>
    <mergeCell ref="B121:C121"/>
    <mergeCell ref="D121:E121"/>
    <mergeCell ref="B122:C122"/>
    <mergeCell ref="D122:E122"/>
    <mergeCell ref="D124:E124"/>
    <mergeCell ref="B131:C131"/>
    <mergeCell ref="D131:E131"/>
    <mergeCell ref="D125:E125"/>
    <mergeCell ref="D126:E126"/>
    <mergeCell ref="B127:C127"/>
    <mergeCell ref="D127:E127"/>
    <mergeCell ref="D128:E128"/>
    <mergeCell ref="D129:E129"/>
    <mergeCell ref="D130:E130"/>
    <mergeCell ref="B112:C112"/>
    <mergeCell ref="D112:E112"/>
    <mergeCell ref="D113:E113"/>
    <mergeCell ref="B114:C114"/>
    <mergeCell ref="D114:E114"/>
    <mergeCell ref="D110:E110"/>
    <mergeCell ref="D181:E181"/>
    <mergeCell ref="D183:E183"/>
    <mergeCell ref="B186:C186"/>
    <mergeCell ref="D186:E186"/>
    <mergeCell ref="D182:E182"/>
    <mergeCell ref="D184:E184"/>
    <mergeCell ref="B177:C177"/>
    <mergeCell ref="D177:J177"/>
    <mergeCell ref="B178:C178"/>
    <mergeCell ref="D178:E178"/>
    <mergeCell ref="B179:C179"/>
    <mergeCell ref="D179:E179"/>
    <mergeCell ref="B180:C180"/>
    <mergeCell ref="D180:E180"/>
    <mergeCell ref="B133:C133"/>
    <mergeCell ref="D133:J133"/>
    <mergeCell ref="B134:C134"/>
    <mergeCell ref="D134:E134"/>
    <mergeCell ref="D188:J188"/>
    <mergeCell ref="B189:C189"/>
    <mergeCell ref="D189:E189"/>
    <mergeCell ref="B190:C190"/>
    <mergeCell ref="D190:E190"/>
    <mergeCell ref="B191:C191"/>
    <mergeCell ref="D191:E191"/>
    <mergeCell ref="D192:E192"/>
    <mergeCell ref="D193:E193"/>
    <mergeCell ref="D194:E194"/>
    <mergeCell ref="D195:E195"/>
    <mergeCell ref="B197:C197"/>
    <mergeCell ref="D197:E197"/>
    <mergeCell ref="B199:C199"/>
    <mergeCell ref="D199:J199"/>
    <mergeCell ref="B200:C200"/>
    <mergeCell ref="D200:E200"/>
    <mergeCell ref="D231:E231"/>
    <mergeCell ref="B227:C227"/>
    <mergeCell ref="D227:J227"/>
    <mergeCell ref="B228:C228"/>
    <mergeCell ref="D228:E228"/>
    <mergeCell ref="B229:C229"/>
    <mergeCell ref="D229:E229"/>
    <mergeCell ref="B230:C230"/>
    <mergeCell ref="D230:E230"/>
    <mergeCell ref="D225:E225"/>
    <mergeCell ref="D233:E233"/>
    <mergeCell ref="D234:E234"/>
    <mergeCell ref="D237:E237"/>
    <mergeCell ref="B238:C238"/>
    <mergeCell ref="D238:E238"/>
    <mergeCell ref="B240:C240"/>
    <mergeCell ref="B201:C201"/>
    <mergeCell ref="D201:E201"/>
    <mergeCell ref="B202:C202"/>
    <mergeCell ref="D202:E202"/>
    <mergeCell ref="D203:E203"/>
    <mergeCell ref="D204:E204"/>
    <mergeCell ref="D205:E205"/>
    <mergeCell ref="D206:E206"/>
    <mergeCell ref="B209:C209"/>
    <mergeCell ref="D209:E209"/>
    <mergeCell ref="B214:C214"/>
    <mergeCell ref="D214:J214"/>
    <mergeCell ref="B215:C215"/>
    <mergeCell ref="D215:E215"/>
    <mergeCell ref="B216:C216"/>
    <mergeCell ref="D216:E216"/>
    <mergeCell ref="B217:C217"/>
    <mergeCell ref="D224:E224"/>
    <mergeCell ref="D243:E243"/>
    <mergeCell ref="D244:E244"/>
    <mergeCell ref="D246:E246"/>
    <mergeCell ref="D247:E247"/>
    <mergeCell ref="D251:E251"/>
    <mergeCell ref="B252:C252"/>
    <mergeCell ref="D252:E252"/>
    <mergeCell ref="B255:C255"/>
    <mergeCell ref="D255:J255"/>
    <mergeCell ref="D265:E265"/>
    <mergeCell ref="B256:C256"/>
    <mergeCell ref="D256:E256"/>
    <mergeCell ref="B257:C257"/>
    <mergeCell ref="D257:E257"/>
    <mergeCell ref="B258:C258"/>
    <mergeCell ref="D258:E258"/>
    <mergeCell ref="D259:E259"/>
    <mergeCell ref="D261:E261"/>
    <mergeCell ref="D262:E262"/>
    <mergeCell ref="D281:J281"/>
    <mergeCell ref="B282:C282"/>
    <mergeCell ref="D282:E282"/>
    <mergeCell ref="B283:C283"/>
    <mergeCell ref="D283:E283"/>
    <mergeCell ref="B284:C284"/>
    <mergeCell ref="D284:E284"/>
    <mergeCell ref="D285:E285"/>
    <mergeCell ref="B266:C266"/>
    <mergeCell ref="D266:E266"/>
    <mergeCell ref="B354:C354"/>
    <mergeCell ref="D354:E354"/>
    <mergeCell ref="D356:E356"/>
    <mergeCell ref="D357:E357"/>
    <mergeCell ref="B306:C306"/>
    <mergeCell ref="D306:J306"/>
    <mergeCell ref="B307:C307"/>
    <mergeCell ref="D307:E307"/>
    <mergeCell ref="B268:C268"/>
    <mergeCell ref="D268:J268"/>
    <mergeCell ref="B269:C269"/>
    <mergeCell ref="D269:E269"/>
    <mergeCell ref="B270:C270"/>
    <mergeCell ref="D270:E270"/>
    <mergeCell ref="B271:C271"/>
    <mergeCell ref="D271:E271"/>
    <mergeCell ref="D272:E272"/>
    <mergeCell ref="D274:E274"/>
    <mergeCell ref="D275:E275"/>
    <mergeCell ref="D278:E278"/>
    <mergeCell ref="B279:C279"/>
    <mergeCell ref="D279:E279"/>
    <mergeCell ref="D293:E293"/>
    <mergeCell ref="B281:C281"/>
    <mergeCell ref="D287:E287"/>
    <mergeCell ref="D288:E288"/>
    <mergeCell ref="D292:E292"/>
    <mergeCell ref="B293:C293"/>
    <mergeCell ref="B351:C351"/>
    <mergeCell ref="D351:J351"/>
    <mergeCell ref="B352:C352"/>
    <mergeCell ref="D352:E352"/>
    <mergeCell ref="B353:C353"/>
    <mergeCell ref="D353:E353"/>
    <mergeCell ref="B308:C308"/>
    <mergeCell ref="D308:E308"/>
    <mergeCell ref="B309:C309"/>
    <mergeCell ref="D309:E309"/>
    <mergeCell ref="D310:E310"/>
    <mergeCell ref="D312:E312"/>
    <mergeCell ref="D313:E313"/>
    <mergeCell ref="B314:C314"/>
    <mergeCell ref="D314:E314"/>
    <mergeCell ref="D311:E311"/>
    <mergeCell ref="B316:C316"/>
    <mergeCell ref="D316:J316"/>
    <mergeCell ref="B317:C317"/>
    <mergeCell ref="D317:E317"/>
    <mergeCell ref="B376:C376"/>
    <mergeCell ref="D376:J376"/>
    <mergeCell ref="D361:E361"/>
    <mergeCell ref="B363:C363"/>
    <mergeCell ref="D363:J363"/>
    <mergeCell ref="B364:C364"/>
    <mergeCell ref="D364:E364"/>
    <mergeCell ref="B365:C365"/>
    <mergeCell ref="D365:E365"/>
    <mergeCell ref="B366:C366"/>
    <mergeCell ref="D366:E366"/>
    <mergeCell ref="D368:E368"/>
    <mergeCell ref="D371:E371"/>
    <mergeCell ref="D372:E372"/>
    <mergeCell ref="B374:C374"/>
    <mergeCell ref="D374:E374"/>
    <mergeCell ref="D370:E370"/>
    <mergeCell ref="B385:C385"/>
    <mergeCell ref="D385:E385"/>
    <mergeCell ref="B387:C387"/>
    <mergeCell ref="D387:J387"/>
    <mergeCell ref="B388:C388"/>
    <mergeCell ref="D388:E388"/>
    <mergeCell ref="B389:C389"/>
    <mergeCell ref="D389:E389"/>
    <mergeCell ref="B377:C377"/>
    <mergeCell ref="D377:E377"/>
    <mergeCell ref="B378:C378"/>
    <mergeCell ref="D378:E378"/>
    <mergeCell ref="B379:C379"/>
    <mergeCell ref="D379:E379"/>
    <mergeCell ref="D381:E381"/>
    <mergeCell ref="D382:E382"/>
    <mergeCell ref="D383:E383"/>
    <mergeCell ref="D428:J428"/>
    <mergeCell ref="B429:C429"/>
    <mergeCell ref="D429:E429"/>
    <mergeCell ref="B430:C430"/>
    <mergeCell ref="D430:E430"/>
    <mergeCell ref="B431:C431"/>
    <mergeCell ref="D431:E431"/>
    <mergeCell ref="B390:C390"/>
    <mergeCell ref="D390:E390"/>
    <mergeCell ref="D392:E392"/>
    <mergeCell ref="D394:E394"/>
    <mergeCell ref="D396:E396"/>
    <mergeCell ref="D398:E398"/>
    <mergeCell ref="B400:C400"/>
    <mergeCell ref="D400:E400"/>
    <mergeCell ref="B318:C318"/>
    <mergeCell ref="D318:E318"/>
    <mergeCell ref="B319:C319"/>
    <mergeCell ref="D319:E319"/>
    <mergeCell ref="D320:E320"/>
    <mergeCell ref="D321:E321"/>
    <mergeCell ref="D322:E322"/>
    <mergeCell ref="D323:E323"/>
    <mergeCell ref="B324:C324"/>
    <mergeCell ref="D324:E324"/>
    <mergeCell ref="B326:C326"/>
    <mergeCell ref="D326:J326"/>
    <mergeCell ref="B327:C327"/>
    <mergeCell ref="D327:E327"/>
    <mergeCell ref="B463:C463"/>
    <mergeCell ref="D463:J463"/>
    <mergeCell ref="B464:C464"/>
    <mergeCell ref="D464:E464"/>
    <mergeCell ref="B465:C465"/>
    <mergeCell ref="D465:E465"/>
    <mergeCell ref="D446:E446"/>
    <mergeCell ref="B449:C449"/>
    <mergeCell ref="D449:E449"/>
    <mergeCell ref="B451:C451"/>
    <mergeCell ref="D451:J451"/>
    <mergeCell ref="B452:C452"/>
    <mergeCell ref="D452:E452"/>
    <mergeCell ref="B453:C453"/>
    <mergeCell ref="D453:E453"/>
    <mergeCell ref="D434:E434"/>
    <mergeCell ref="B440:C440"/>
    <mergeCell ref="D440:J440"/>
    <mergeCell ref="B441:C441"/>
    <mergeCell ref="D441:E441"/>
    <mergeCell ref="B466:C466"/>
    <mergeCell ref="D466:E466"/>
    <mergeCell ref="B328:C328"/>
    <mergeCell ref="D328:E328"/>
    <mergeCell ref="B329:C329"/>
    <mergeCell ref="D329:E329"/>
    <mergeCell ref="D330:E330"/>
    <mergeCell ref="D331:E331"/>
    <mergeCell ref="D332:E332"/>
    <mergeCell ref="D333:E333"/>
    <mergeCell ref="B334:C334"/>
    <mergeCell ref="D334:E334"/>
    <mergeCell ref="B454:C454"/>
    <mergeCell ref="D454:E454"/>
    <mergeCell ref="D458:E458"/>
    <mergeCell ref="B461:C461"/>
    <mergeCell ref="D461:E461"/>
    <mergeCell ref="D457:E457"/>
    <mergeCell ref="B442:C442"/>
    <mergeCell ref="D442:E442"/>
    <mergeCell ref="B443:C443"/>
    <mergeCell ref="D443:E443"/>
    <mergeCell ref="B426:C426"/>
    <mergeCell ref="D426:E426"/>
    <mergeCell ref="B477:C477"/>
    <mergeCell ref="D477:E477"/>
    <mergeCell ref="B479:C479"/>
    <mergeCell ref="D479:J479"/>
    <mergeCell ref="B480:C480"/>
    <mergeCell ref="D480:E480"/>
    <mergeCell ref="B481:C481"/>
    <mergeCell ref="D482:E482"/>
    <mergeCell ref="B469:C469"/>
    <mergeCell ref="D469:E469"/>
    <mergeCell ref="D467:E467"/>
    <mergeCell ref="B471:C471"/>
    <mergeCell ref="D471:J471"/>
    <mergeCell ref="B472:C472"/>
    <mergeCell ref="D472:E472"/>
    <mergeCell ref="B473:C473"/>
    <mergeCell ref="D473:E473"/>
    <mergeCell ref="B474:C474"/>
    <mergeCell ref="D474:E474"/>
    <mergeCell ref="B489:C489"/>
    <mergeCell ref="D489:E489"/>
    <mergeCell ref="B490:C490"/>
    <mergeCell ref="D490:E490"/>
    <mergeCell ref="B493:C493"/>
    <mergeCell ref="D493:E493"/>
    <mergeCell ref="D481:E481"/>
    <mergeCell ref="B482:C482"/>
    <mergeCell ref="B485:C485"/>
    <mergeCell ref="D485:E485"/>
    <mergeCell ref="D484:E484"/>
    <mergeCell ref="B487:C487"/>
    <mergeCell ref="D487:J487"/>
    <mergeCell ref="B488:C488"/>
    <mergeCell ref="D488:E488"/>
  </mergeCells>
  <pageMargins left="0.7" right="0.7" top="0.75" bottom="0.75" header="0.3" footer="0.3"/>
  <pageSetup paperSize="9" scale="82" fitToHeight="0" orientation="portrait" r:id="rId1"/>
  <rowBreaks count="10" manualBreakCount="10">
    <brk id="47" max="9" man="1"/>
    <brk id="116" max="9" man="1"/>
    <brk id="162" max="9" man="1"/>
    <brk id="211" max="9" man="1"/>
    <brk id="253" max="9" man="1"/>
    <brk id="294" max="9" man="1"/>
    <brk id="336" max="9" man="1"/>
    <brk id="385" max="9" man="1"/>
    <brk id="427" max="9" man="1"/>
    <brk id="470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2:P29"/>
  <sheetViews>
    <sheetView showGridLines="0" view="pageBreakPreview" zoomScaleNormal="100" zoomScaleSheetLayoutView="100" workbookViewId="0">
      <selection activeCell="P17" sqref="P17"/>
    </sheetView>
  </sheetViews>
  <sheetFormatPr defaultColWidth="9.140625" defaultRowHeight="15" x14ac:dyDescent="0.25"/>
  <cols>
    <col min="1" max="1" width="9.140625" style="188"/>
    <col min="2" max="2" width="14.42578125" style="188" customWidth="1"/>
    <col min="3" max="3" width="17.5703125" style="188" customWidth="1"/>
    <col min="4" max="4" width="20.140625" style="188" customWidth="1"/>
    <col min="5" max="5" width="14.42578125" style="188" customWidth="1"/>
    <col min="6" max="6" width="12.5703125" style="188" customWidth="1"/>
    <col min="7" max="7" width="11.42578125" style="188" customWidth="1"/>
    <col min="8" max="8" width="13.28515625" style="188" customWidth="1"/>
    <col min="9" max="9" width="16.85546875" style="188" customWidth="1"/>
    <col min="10" max="10" width="16.28515625" style="188" customWidth="1"/>
    <col min="11" max="11" width="14.140625" style="188" customWidth="1"/>
    <col min="12" max="12" width="15.140625" style="188" customWidth="1"/>
    <col min="13" max="13" width="14.140625" style="188" customWidth="1"/>
    <col min="14" max="14" width="12.140625" style="188" customWidth="1"/>
    <col min="15" max="15" width="23.28515625" style="188" customWidth="1"/>
    <col min="16" max="16" width="20.140625" style="188" customWidth="1"/>
    <col min="17" max="16384" width="9.140625" style="188"/>
  </cols>
  <sheetData>
    <row r="2" spans="3:16" x14ac:dyDescent="0.25">
      <c r="C2" s="900" t="s">
        <v>537</v>
      </c>
      <c r="D2" s="900"/>
      <c r="E2" s="900"/>
      <c r="F2" s="900"/>
      <c r="G2" s="900"/>
      <c r="H2" s="900"/>
      <c r="I2" s="900"/>
      <c r="J2" s="900"/>
      <c r="K2" s="900"/>
      <c r="L2" s="900"/>
      <c r="M2" s="448"/>
    </row>
    <row r="3" spans="3:16" x14ac:dyDescent="0.25"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448"/>
    </row>
    <row r="4" spans="3:16" x14ac:dyDescent="0.25"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48"/>
    </row>
    <row r="5" spans="3:16" ht="15.75" thickBot="1" x14ac:dyDescent="0.3">
      <c r="C5" s="919" t="s">
        <v>531</v>
      </c>
      <c r="D5" s="919"/>
      <c r="E5" s="919"/>
      <c r="F5" s="919"/>
      <c r="G5" s="919"/>
      <c r="H5" s="919"/>
      <c r="I5" s="919"/>
      <c r="J5" s="919"/>
      <c r="K5" s="919"/>
      <c r="L5" s="919"/>
      <c r="M5" s="448"/>
    </row>
    <row r="6" spans="3:16" ht="55.5" customHeight="1" thickBot="1" x14ac:dyDescent="0.3">
      <c r="C6" s="434" t="s">
        <v>505</v>
      </c>
      <c r="D6" s="434" t="s">
        <v>514</v>
      </c>
      <c r="E6" s="435" t="s">
        <v>519</v>
      </c>
      <c r="F6" s="434" t="s">
        <v>515</v>
      </c>
      <c r="G6" s="434" t="s">
        <v>516</v>
      </c>
      <c r="H6" s="436" t="s">
        <v>517</v>
      </c>
      <c r="I6" s="435" t="s">
        <v>518</v>
      </c>
      <c r="J6" s="469" t="s">
        <v>524</v>
      </c>
      <c r="K6" s="456" t="s">
        <v>525</v>
      </c>
      <c r="L6" s="456" t="s">
        <v>526</v>
      </c>
      <c r="M6" s="875" t="s">
        <v>538</v>
      </c>
    </row>
    <row r="7" spans="3:16" ht="27" customHeight="1" x14ac:dyDescent="0.25">
      <c r="C7" s="468">
        <v>23101</v>
      </c>
      <c r="D7" s="467" t="s">
        <v>513</v>
      </c>
      <c r="E7" s="444" t="s">
        <v>506</v>
      </c>
      <c r="F7" s="452">
        <v>12.2</v>
      </c>
      <c r="G7" s="453">
        <v>0.88</v>
      </c>
      <c r="H7" s="885">
        <f>(F7*G7)+(F8*G8)</f>
        <v>12.396799999999999</v>
      </c>
      <c r="I7" s="887">
        <f>H7*E7</f>
        <v>287100.59039999999</v>
      </c>
      <c r="J7" s="909">
        <v>14851.25</v>
      </c>
      <c r="K7" s="911">
        <v>16.71</v>
      </c>
      <c r="L7" s="913">
        <f>J7*K7</f>
        <v>248164.38750000001</v>
      </c>
      <c r="M7" s="876"/>
    </row>
    <row r="8" spans="3:16" ht="15.75" thickBot="1" x14ac:dyDescent="0.3">
      <c r="C8" s="461"/>
      <c r="D8" s="462"/>
      <c r="E8" s="463"/>
      <c r="F8" s="464">
        <v>13.84</v>
      </c>
      <c r="G8" s="465">
        <v>0.12</v>
      </c>
      <c r="H8" s="886"/>
      <c r="I8" s="888"/>
      <c r="J8" s="910"/>
      <c r="K8" s="912"/>
      <c r="L8" s="914"/>
      <c r="M8" s="877"/>
      <c r="P8" s="494"/>
    </row>
    <row r="9" spans="3:16" ht="39" customHeight="1" x14ac:dyDescent="0.25">
      <c r="C9" s="466">
        <v>23201</v>
      </c>
      <c r="D9" s="476" t="s">
        <v>520</v>
      </c>
      <c r="E9" s="484">
        <v>6410.25</v>
      </c>
      <c r="F9" s="452">
        <v>12.2</v>
      </c>
      <c r="G9" s="453">
        <v>0.9</v>
      </c>
      <c r="H9" s="885">
        <f>(F9*G9)+(F10*G10)</f>
        <v>12.364000000000001</v>
      </c>
      <c r="I9" s="887">
        <f>H9*E9</f>
        <v>79256.331000000006</v>
      </c>
      <c r="J9" s="915">
        <v>4184.5</v>
      </c>
      <c r="K9" s="911">
        <v>16.71</v>
      </c>
      <c r="L9" s="917">
        <f>J9*K9</f>
        <v>69922.99500000001</v>
      </c>
      <c r="M9" s="878" t="s">
        <v>530</v>
      </c>
    </row>
    <row r="10" spans="3:16" ht="41.25" customHeight="1" thickBot="1" x14ac:dyDescent="0.3">
      <c r="C10" s="461"/>
      <c r="D10" s="491" t="s">
        <v>534</v>
      </c>
      <c r="E10" s="471">
        <f>E9+E7</f>
        <v>29569.5</v>
      </c>
      <c r="F10" s="464">
        <v>13.84</v>
      </c>
      <c r="G10" s="472">
        <v>0.1</v>
      </c>
      <c r="H10" s="886"/>
      <c r="I10" s="888"/>
      <c r="J10" s="916"/>
      <c r="K10" s="912"/>
      <c r="L10" s="918"/>
      <c r="M10" s="889"/>
    </row>
    <row r="11" spans="3:16" ht="15.75" thickBot="1" x14ac:dyDescent="0.3">
      <c r="E11" s="409"/>
      <c r="F11" s="410"/>
      <c r="G11" s="411"/>
      <c r="H11" s="332"/>
      <c r="I11" s="470">
        <f>SUM(I7:I10)</f>
        <v>366356.92139999999</v>
      </c>
      <c r="J11" s="457"/>
      <c r="K11" s="449"/>
      <c r="L11" s="473">
        <f>SUM(L7:L10)</f>
        <v>318087.38250000001</v>
      </c>
      <c r="M11" s="495">
        <f>I11+L11</f>
        <v>684444.30389999994</v>
      </c>
    </row>
    <row r="12" spans="3:16" x14ac:dyDescent="0.25">
      <c r="E12" s="409"/>
      <c r="F12" s="410"/>
      <c r="G12" s="411"/>
      <c r="H12" s="493"/>
      <c r="I12" s="493"/>
      <c r="J12" s="493"/>
      <c r="K12" s="493"/>
      <c r="L12" s="492"/>
    </row>
    <row r="13" spans="3:16" x14ac:dyDescent="0.25">
      <c r="E13" s="409"/>
      <c r="F13" s="410"/>
      <c r="G13" s="411"/>
      <c r="H13" s="493"/>
      <c r="I13" s="493"/>
      <c r="J13" s="493"/>
      <c r="K13" s="493"/>
      <c r="L13" s="492"/>
    </row>
    <row r="14" spans="3:16" ht="15.75" customHeight="1" x14ac:dyDescent="0.25">
      <c r="E14" s="409"/>
      <c r="F14" s="410"/>
      <c r="G14" s="411"/>
    </row>
    <row r="15" spans="3:16" ht="15.75" customHeight="1" thickBot="1" x14ac:dyDescent="0.3">
      <c r="C15" s="896" t="s">
        <v>533</v>
      </c>
      <c r="D15" s="896"/>
      <c r="E15" s="896"/>
      <c r="F15" s="896"/>
      <c r="G15" s="896"/>
      <c r="H15" s="896"/>
      <c r="I15" s="896"/>
      <c r="J15" s="896"/>
      <c r="K15" s="896"/>
      <c r="L15" s="896"/>
      <c r="M15" s="441"/>
    </row>
    <row r="16" spans="3:16" ht="60.75" customHeight="1" thickBot="1" x14ac:dyDescent="0.3">
      <c r="C16" s="434" t="s">
        <v>505</v>
      </c>
      <c r="D16" s="434" t="s">
        <v>514</v>
      </c>
      <c r="E16" s="435" t="s">
        <v>528</v>
      </c>
      <c r="F16" s="434" t="s">
        <v>521</v>
      </c>
      <c r="G16" s="434" t="s">
        <v>522</v>
      </c>
      <c r="H16" s="477" t="s">
        <v>523</v>
      </c>
      <c r="I16" s="435" t="s">
        <v>529</v>
      </c>
      <c r="J16" s="479" t="s">
        <v>527</v>
      </c>
      <c r="K16" s="481" t="s">
        <v>525</v>
      </c>
      <c r="L16" s="459" t="s">
        <v>526</v>
      </c>
      <c r="M16" s="875" t="s">
        <v>538</v>
      </c>
    </row>
    <row r="17" spans="3:13" ht="42.75" customHeight="1" thickBot="1" x14ac:dyDescent="0.3">
      <c r="C17" s="443">
        <v>23101</v>
      </c>
      <c r="D17" s="437" t="s">
        <v>513</v>
      </c>
      <c r="E17" s="451" t="s">
        <v>506</v>
      </c>
      <c r="F17" s="452">
        <f>CENIK_št_1!K40</f>
        <v>20.75</v>
      </c>
      <c r="G17" s="453">
        <v>0.89</v>
      </c>
      <c r="H17" s="890">
        <f>(F17*G17)+(F18*G18)+(F19*G19)</f>
        <v>21.036200000000001</v>
      </c>
      <c r="I17" s="894">
        <f>H17*E17</f>
        <v>487182.61485000001</v>
      </c>
      <c r="J17" s="903">
        <v>14851.25</v>
      </c>
      <c r="K17" s="906">
        <v>18.41</v>
      </c>
      <c r="L17" s="897">
        <f>J17*K17</f>
        <v>273411.51250000001</v>
      </c>
      <c r="M17" s="876"/>
    </row>
    <row r="18" spans="3:13" ht="20.25" customHeight="1" x14ac:dyDescent="0.25">
      <c r="C18" s="445"/>
      <c r="D18" s="445"/>
      <c r="E18" s="450"/>
      <c r="F18" s="432">
        <f>CENIK_št_1!K41</f>
        <v>21.02</v>
      </c>
      <c r="G18" s="438">
        <v>0.08</v>
      </c>
      <c r="H18" s="891"/>
      <c r="I18" s="883"/>
      <c r="J18" s="903"/>
      <c r="K18" s="906"/>
      <c r="L18" s="897"/>
      <c r="M18" s="876"/>
    </row>
    <row r="19" spans="3:13" ht="42.75" customHeight="1" thickBot="1" x14ac:dyDescent="0.3">
      <c r="E19" s="474"/>
      <c r="F19" s="475">
        <f>CENIK_št_1!K42</f>
        <v>29.57</v>
      </c>
      <c r="G19" s="472">
        <v>0.03</v>
      </c>
      <c r="H19" s="892"/>
      <c r="I19" s="895"/>
      <c r="J19" s="904"/>
      <c r="K19" s="907"/>
      <c r="L19" s="898"/>
      <c r="M19" s="876"/>
    </row>
    <row r="20" spans="3:13" ht="36" customHeight="1" thickBot="1" x14ac:dyDescent="0.3">
      <c r="C20" s="443">
        <v>23201</v>
      </c>
      <c r="D20" s="442" t="s">
        <v>520</v>
      </c>
      <c r="E20" s="460">
        <v>6410.25</v>
      </c>
      <c r="F20" s="458">
        <f>CENIK_št_1!K40</f>
        <v>20.75</v>
      </c>
      <c r="G20" s="439">
        <v>0.89</v>
      </c>
      <c r="H20" s="891">
        <f>(F20*G20)+(F21*G21)+(F22*G22)</f>
        <v>21.036200000000001</v>
      </c>
      <c r="I20" s="883">
        <f>H20*E20</f>
        <v>134847.30105000001</v>
      </c>
      <c r="J20" s="905">
        <v>4184.5</v>
      </c>
      <c r="K20" s="908">
        <v>18.41</v>
      </c>
      <c r="L20" s="899">
        <f>J20*K20</f>
        <v>77036.645000000004</v>
      </c>
      <c r="M20" s="877"/>
    </row>
    <row r="21" spans="3:13" ht="36" customHeight="1" x14ac:dyDescent="0.25">
      <c r="C21" s="445"/>
      <c r="D21" s="446"/>
      <c r="E21" s="447"/>
      <c r="F21" s="433">
        <f>CENIK_št_1!K41</f>
        <v>21.02</v>
      </c>
      <c r="G21" s="438">
        <v>0.08</v>
      </c>
      <c r="H21" s="891"/>
      <c r="I21" s="883"/>
      <c r="J21" s="903"/>
      <c r="K21" s="906"/>
      <c r="L21" s="897"/>
      <c r="M21" s="878" t="s">
        <v>530</v>
      </c>
    </row>
    <row r="22" spans="3:13" ht="36" customHeight="1" x14ac:dyDescent="0.25">
      <c r="C22" s="445"/>
      <c r="D22" s="446"/>
      <c r="E22" s="447"/>
      <c r="F22" s="432">
        <f>CENIK_št_1!K42</f>
        <v>29.57</v>
      </c>
      <c r="G22" s="438">
        <v>0.03</v>
      </c>
      <c r="H22" s="893"/>
      <c r="I22" s="884"/>
      <c r="J22" s="903"/>
      <c r="K22" s="906"/>
      <c r="L22" s="897"/>
      <c r="M22" s="879"/>
    </row>
    <row r="23" spans="3:13" ht="36" customHeight="1" thickBot="1" x14ac:dyDescent="0.3">
      <c r="C23" s="445"/>
      <c r="D23" s="454" t="s">
        <v>534</v>
      </c>
      <c r="E23" s="455">
        <f>E17+E20</f>
        <v>29569.5</v>
      </c>
      <c r="F23" s="901"/>
      <c r="G23" s="902"/>
      <c r="H23" s="478"/>
      <c r="I23" s="480">
        <f>I17+I20</f>
        <v>622029.91590000002</v>
      </c>
      <c r="J23" s="440"/>
      <c r="K23" s="440"/>
      <c r="L23" s="482">
        <f>SUM(L17:L22)</f>
        <v>350448.15750000003</v>
      </c>
      <c r="M23" s="496">
        <f>I23+L23</f>
        <v>972478.07340000011</v>
      </c>
    </row>
    <row r="24" spans="3:13" ht="36" customHeight="1" x14ac:dyDescent="0.25">
      <c r="C24" s="445"/>
      <c r="D24" s="446"/>
      <c r="E24" s="447"/>
      <c r="F24" s="410"/>
      <c r="G24" s="411"/>
      <c r="H24" s="332"/>
      <c r="I24" s="212"/>
      <c r="J24" s="440"/>
      <c r="K24" s="440"/>
      <c r="L24" s="440"/>
      <c r="M24" s="441"/>
    </row>
    <row r="25" spans="3:13" ht="24" customHeight="1" thickBot="1" x14ac:dyDescent="0.3">
      <c r="J25" s="440"/>
      <c r="K25" s="440"/>
      <c r="L25" s="440"/>
      <c r="M25" s="441"/>
    </row>
    <row r="26" spans="3:13" ht="27.75" customHeight="1" thickBot="1" x14ac:dyDescent="0.3">
      <c r="D26" s="332"/>
      <c r="H26" s="880" t="s">
        <v>532</v>
      </c>
      <c r="I26" s="881"/>
      <c r="J26" s="881"/>
      <c r="K26" s="881"/>
      <c r="L26" s="882"/>
      <c r="M26" s="490">
        <f>M23-M11</f>
        <v>288033.76950000017</v>
      </c>
    </row>
    <row r="27" spans="3:13" ht="15.75" customHeight="1" x14ac:dyDescent="0.25">
      <c r="E27" s="409"/>
      <c r="F27" s="410"/>
      <c r="G27" s="411"/>
    </row>
    <row r="29" spans="3:13" ht="28.5" customHeight="1" x14ac:dyDescent="0.25"/>
  </sheetData>
  <sheetProtection selectLockedCells="1" selectUnlockedCells="1"/>
  <mergeCells count="29">
    <mergeCell ref="C2:L2"/>
    <mergeCell ref="F23:G23"/>
    <mergeCell ref="J17:J19"/>
    <mergeCell ref="J20:J22"/>
    <mergeCell ref="K17:K19"/>
    <mergeCell ref="K20:K22"/>
    <mergeCell ref="J7:J8"/>
    <mergeCell ref="K7:K8"/>
    <mergeCell ref="L7:L8"/>
    <mergeCell ref="J9:J10"/>
    <mergeCell ref="K9:K10"/>
    <mergeCell ref="L9:L10"/>
    <mergeCell ref="C5:L5"/>
    <mergeCell ref="M6:M8"/>
    <mergeCell ref="M16:M20"/>
    <mergeCell ref="M21:M22"/>
    <mergeCell ref="H26:L26"/>
    <mergeCell ref="I20:I22"/>
    <mergeCell ref="H7:H8"/>
    <mergeCell ref="H9:H10"/>
    <mergeCell ref="I7:I8"/>
    <mergeCell ref="I9:I10"/>
    <mergeCell ref="M9:M10"/>
    <mergeCell ref="H17:H19"/>
    <mergeCell ref="H20:H22"/>
    <mergeCell ref="I17:I19"/>
    <mergeCell ref="C15:L15"/>
    <mergeCell ref="L17:L19"/>
    <mergeCell ref="L20:L2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4</vt:i4>
      </vt:variant>
    </vt:vector>
  </HeadingPairs>
  <TitlesOfParts>
    <vt:vector size="8" baseType="lpstr">
      <vt:lpstr>CENIK_št_1</vt:lpstr>
      <vt:lpstr>KALKULACIJA_CENIK_št_1</vt:lpstr>
      <vt:lpstr>KALKULACIJA CENIK em</vt:lpstr>
      <vt:lpstr>VPLIV NA PRORAČUN</vt:lpstr>
      <vt:lpstr>CENIK_št_1!Področje_tiskanja</vt:lpstr>
      <vt:lpstr>'KALKULACIJA CENIK em'!Področje_tiskanja</vt:lpstr>
      <vt:lpstr>KALKULACIJA_CENIK_št_1!Področje_tiskanja</vt:lpstr>
      <vt:lpstr>'VPLIV NA PRORAČUN'!Področje_tiskanja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Sebastjan Klukovič</dc:creator>
  <cp:lastModifiedBy>Mojca Šetina</cp:lastModifiedBy>
  <cp:lastPrinted>2022-10-10T09:23:09Z</cp:lastPrinted>
  <dcterms:created xsi:type="dcterms:W3CDTF">2017-04-14T07:10:42Z</dcterms:created>
  <dcterms:modified xsi:type="dcterms:W3CDTF">2025-07-09T14:28:26Z</dcterms:modified>
</cp:coreProperties>
</file>